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RN6ytcXZz8AbHYwn+5eMfWA/iiN46uYVpsmpp0IdqvQ9Z9RFVb/Es1/Jc1MYHYZXjkOIxioBqYDw6IfUydwAg==" workbookSaltValue="0u0JpbK4kSBgsK9auwUPn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W11" i="20"/>
  <c r="S21" i="17"/>
  <c r="BW28" i="20"/>
  <c r="BU13" i="17"/>
  <c r="BW21" i="20"/>
  <c r="BV9" i="16"/>
  <c r="T14" i="16"/>
  <c r="AA29" i="16"/>
  <c r="AA18" i="16"/>
  <c r="AZ12" i="11"/>
  <c r="AZ11" i="11"/>
  <c r="Q18" i="17"/>
  <c r="BH10"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BF17" i="8" l="1"/>
  <c r="BD12" i="8"/>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I9" i="11"/>
  <c r="BI20" i="11"/>
  <c r="BG12" i="11"/>
  <c r="S11" i="14"/>
  <c r="V11" i="14" s="1"/>
  <c r="AZ20" i="11"/>
  <c r="S25" i="17"/>
  <c r="BU12" i="17"/>
  <c r="BV22" i="16"/>
  <c r="BW10" i="20"/>
  <c r="BU19" i="17"/>
  <c r="BU9" i="17"/>
  <c r="X21" i="16"/>
  <c r="BW17" i="20"/>
  <c r="BU21" i="17"/>
  <c r="BU11" i="17"/>
  <c r="BJ28" i="11"/>
  <c r="AZ9" i="11"/>
  <c r="AZ14" i="11" s="1"/>
  <c r="AZ13" i="11"/>
  <c r="BI19" i="11"/>
  <c r="BI25" i="11"/>
  <c r="BG22" i="11"/>
  <c r="Q18" i="20"/>
  <c r="Q23" i="20" s="1"/>
  <c r="V16" i="11"/>
  <c r="Z14" i="17"/>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<sst xmlns="http://schemas.openxmlformats.org/spreadsheetml/2006/main" count="2672" uniqueCount="1183">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</sst>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xWejWnl2RW+szRWhGuAGxT/hz+oNCxgxwInEcZtiPAQiHzQk/3LJCGhE+BblKGZDxiAFXdBBFdqh9KYwgVxPw==" saltValue="EISr/QNjHrDPAQlvtwMc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MADRID</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48</v>
      </c>
      <c r="D10" s="239">
        <f>IF(ISNUMBER(Datos!I10),Datos!I10," - ")</f>
        <v>63</v>
      </c>
      <c r="E10" s="240">
        <f>IF(ISNUMBER(Datos!J10),Datos!J10," - ")</f>
        <v>126</v>
      </c>
      <c r="F10" s="240">
        <f>IF(ISNUMBER(Datos!K10),Datos!K10," - ")</f>
        <v>126</v>
      </c>
      <c r="G10" s="1390" t="str">
        <f>IF(Datos!E10&lt;&gt;"",Datos!E10,Datos!D10)</f>
        <v>37</v>
      </c>
      <c r="H10" s="241">
        <f>IF(ISNUMBER(Datos!L10),Datos!L10," - ")</f>
        <v>48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4.1904761904761898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4.9573643410852712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48</v>
      </c>
      <c r="D14" s="1407">
        <f>SUBTOTAL(9,D9:D13)</f>
        <v>63</v>
      </c>
      <c r="E14" s="1408">
        <f>SUBTOTAL(9,E9:E13)</f>
        <v>126</v>
      </c>
      <c r="F14" s="1409">
        <f>SUBTOTAL(9,F9:F13)</f>
        <v>126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1340</v>
      </c>
      <c r="D17" s="239">
        <f>IF(ISNUMBER(IF(D_I="SI",Datos!I17,Datos!I17+Datos!AC17)),IF(D_I="SI",Datos!I17,Datos!I17+Datos!AC17)," - ")</f>
        <v>1172</v>
      </c>
      <c r="E17" s="240">
        <f>IF(ISNUMBER(IF(D_I="SI",Datos!J17,Datos!J17+Datos!AD17)),IF(D_I="SI",Datos!J17,Datos!J17+Datos!AD17)," - ")</f>
        <v>8880</v>
      </c>
      <c r="F17" s="240">
        <f>IF(ISNUMBER(IF(D_I="SI",Datos!K17,Datos!K17+Datos!AE17)),IF(D_I="SI",Datos!K17,Datos!K17+Datos!AE17)," - ")</f>
        <v>8679</v>
      </c>
      <c r="G17" s="1390" t="str">
        <f>IF(Datos!E17&lt;&gt;"",Datos!E17,Datos!D17)</f>
        <v>04</v>
      </c>
      <c r="H17" s="241">
        <f>IF(ISNUMBER(IF(D_I="SI",Datos!L17,Datos!L17+Datos!AF17)),IF(D_I="SI",Datos!L17,Datos!L17+Datos!AF17)," - ")</f>
        <v>1541</v>
      </c>
      <c r="I17" s="1400" t="str">
        <f>IF(ISNUMBER(Datos!AS17/Datos!BM17),Datos!AS17/Datos!BM17," - ")</f>
        <v xml:space="preserve"> - </v>
      </c>
      <c r="J17" s="1401">
        <f>IF(ISNUMBER(Datos!BY17/Datos!CN17),Datos!BY17/Datos!CN17," - ")</f>
        <v>0</v>
      </c>
      <c r="K17" s="244">
        <f t="shared" si="3"/>
        <v>0.15</v>
      </c>
      <c r="L17" s="1402">
        <f>IF(ISNUMBER(NºAsuntos!I17/NºAsuntos!G17),(NºAsuntos!I17/NºAsuntos!G17)*11," - ")</f>
        <v>1.9531051964512041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74</v>
      </c>
      <c r="E18" s="240">
        <f>IF(ISNUMBER(IF(D_I="SI",Datos!J18,Datos!J18+Datos!AD18)),IF(D_I="SI",Datos!J18,Datos!J18+Datos!AD18)," - ")</f>
        <v>1017</v>
      </c>
      <c r="F18" s="240">
        <f>IF(ISNUMBER(IF(D_I="SI",Datos!K18,Datos!K18+Datos!AE18)),IF(D_I="SI",Datos!K18,Datos!K18+Datos!AE18)," - ")</f>
        <v>1004</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0.16455696202531644</v>
      </c>
      <c r="L18" s="1402">
        <f>IF(ISNUMBER(NºAsuntos!I18/NºAsuntos!G18),(NºAsuntos!I18/NºAsuntos!G18)*11," - ")</f>
        <v>1.0079681274900398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5</v>
      </c>
      <c r="B21" s="1461" t="str">
        <f>Datos!A21</f>
        <v xml:space="preserve">Jdos. de lo Penal                               </v>
      </c>
      <c r="C21" s="239">
        <f t="shared" si="2"/>
        <v>1997</v>
      </c>
      <c r="D21" s="239">
        <f>IF(ISNUMBER(Datos!I21),Datos!I21," - ")</f>
        <v>1610</v>
      </c>
      <c r="E21" s="240">
        <f>IF(ISNUMBER(Datos!J21),Datos!J21," - ")</f>
        <v>1897</v>
      </c>
      <c r="F21" s="240">
        <f>IF(ISNUMBER(Datos!K21),Datos!K21," - ")</f>
        <v>2004</v>
      </c>
      <c r="G21" s="1390" t="str">
        <f>IF(Datos!E21&lt;&gt;"",Datos!E21,Datos!D21)</f>
        <v>09</v>
      </c>
      <c r="H21" s="241">
        <f>IF(ISNUMBER(Datos!L21),Datos!L21," - ")</f>
        <v>1890</v>
      </c>
      <c r="I21" s="1400" t="str">
        <f>IF(ISNUMBER(Datos!AS21/Datos!BM21),Datos!AS21/Datos!BM21," - ")</f>
        <v xml:space="preserve"> - </v>
      </c>
      <c r="J21" s="1401" t="str">
        <f>IF(ISNUMBER(Datos!BY21/Datos!CN21),Datos!BY21/Datos!CN21," - ")</f>
        <v xml:space="preserve"> - </v>
      </c>
      <c r="K21" s="244">
        <f t="shared" si="3"/>
        <v>-5.3580370555833749E-2</v>
      </c>
      <c r="L21" s="1402">
        <f>IF(ISNUMBER(NºAsuntos!I21/NºAsuntos!G21),(NºAsuntos!I21/NºAsuntos!G21)*11," - ")</f>
        <v>10.374251497005989</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3416</v>
      </c>
      <c r="D23" s="1407">
        <f>SUBTOTAL(9,D16:D22)</f>
        <v>2856</v>
      </c>
      <c r="E23" s="1408">
        <f>SUBTOTAL(9,E16:E22)</f>
        <v>11794</v>
      </c>
      <c r="F23" s="1408">
        <f>SUBTOTAL(9,F16:F22)</f>
        <v>11687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3464</v>
      </c>
      <c r="D31" s="1435">
        <f>SUBTOTAL(9,D9:D30)</f>
        <v>2919</v>
      </c>
      <c r="E31" s="1436">
        <f>SUBTOTAL(9,E9:E30)</f>
        <v>11920</v>
      </c>
      <c r="F31" s="1436">
        <f>SUBTOTAL(9,F9:F30)</f>
        <v>11813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SCYg7lOEuw7Kt2E/jDV4tDGyMq8pBBhKrvhXb537vIJlhu4U+ZUwRb5bEHZlp/t2VeYolsdLtlasbA5rDHCRdw==" saltValue="0OqhGZOqcpiPytQNxdDMf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Pf3cNGn46+CmK9HuD3fbOmJPT7Kl2piXv6Dgm55BuORpwkqT38+lcED8FAJqHjy1Xdj2IePmiiGWXc3LE3C5bg==" saltValue="6oPqauYLFcC7ncAtQdQK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63</v>
      </c>
      <c r="J10" s="194">
        <v>126</v>
      </c>
      <c r="K10" s="194">
        <v>126</v>
      </c>
      <c r="L10" s="194">
        <v>48</v>
      </c>
      <c r="M10" s="194">
        <v>48</v>
      </c>
      <c r="N10" s="194">
        <v>56</v>
      </c>
      <c r="O10" s="194">
        <v>19</v>
      </c>
      <c r="P10" s="194">
        <v>24</v>
      </c>
      <c r="Q10" s="194">
        <v>26</v>
      </c>
      <c r="R10" s="194">
        <v>54</v>
      </c>
      <c r="S10" s="194">
        <v>35</v>
      </c>
      <c r="T10" s="194">
        <v>121</v>
      </c>
      <c r="U10" s="194">
        <v>96</v>
      </c>
      <c r="V10" s="194">
        <v>63</v>
      </c>
      <c r="W10" s="194">
        <v>33</v>
      </c>
      <c r="X10" s="201">
        <v>44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1057</v>
      </c>
      <c r="AT10" s="205"/>
      <c r="AU10" s="213"/>
      <c r="AV10" s="205"/>
      <c r="AW10" s="213"/>
      <c r="AX10" s="205"/>
      <c r="AY10" s="138">
        <f t="shared" ref="AY10:BC10" si="0">IF(ISNUMBER(S10),S10," - ")</f>
        <v>35</v>
      </c>
      <c r="AZ10" s="139">
        <f t="shared" si="0"/>
        <v>121</v>
      </c>
      <c r="BA10" s="139">
        <f t="shared" si="0"/>
        <v>96</v>
      </c>
      <c r="BB10" s="139">
        <f t="shared" si="0"/>
        <v>63</v>
      </c>
      <c r="BC10" s="135">
        <f t="shared" si="0"/>
        <v>33</v>
      </c>
      <c r="BD10" s="136">
        <f>IF(ISNUMBER(BA10/AZ10),BA10/AZ10," - ")</f>
        <v>0.79338842975206614</v>
      </c>
      <c r="BE10" s="137">
        <f>IF(ISNUMBER(BB10/BA10),BB10/BA10, " - ")</f>
        <v>0.65625</v>
      </c>
      <c r="BF10" s="137">
        <f>IF(ISNUMBER(BC10/BA10),BC10/BA10, " - ")</f>
        <v>0.34375</v>
      </c>
      <c r="BG10" s="209">
        <f>IF(ISNUMBER((AY10+AZ10)/BA10),(AY10+AZ10)/BA10," - ")</f>
        <v>1.625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3194</v>
      </c>
      <c r="J12" s="196">
        <v>8120</v>
      </c>
      <c r="K12" s="196">
        <v>7734</v>
      </c>
      <c r="L12" s="196">
        <v>3605</v>
      </c>
      <c r="M12" s="196">
        <v>1206</v>
      </c>
      <c r="N12" s="196">
        <v>5514</v>
      </c>
      <c r="O12" s="194">
        <v>2289</v>
      </c>
      <c r="P12" s="196">
        <v>1364</v>
      </c>
      <c r="Q12" s="196">
        <v>1080</v>
      </c>
      <c r="R12" s="196">
        <v>6348</v>
      </c>
      <c r="S12" s="196">
        <v>2923</v>
      </c>
      <c r="T12" s="196">
        <v>7067</v>
      </c>
      <c r="U12" s="196">
        <v>6891</v>
      </c>
      <c r="V12" s="196">
        <v>3194</v>
      </c>
      <c r="W12" s="196">
        <v>1140</v>
      </c>
      <c r="X12" s="202">
        <v>4964</v>
      </c>
      <c r="Y12" s="204">
        <v>224</v>
      </c>
      <c r="Z12" s="194">
        <v>786</v>
      </c>
      <c r="AA12" s="194">
        <v>780</v>
      </c>
      <c r="AB12" s="194">
        <v>232</v>
      </c>
      <c r="AC12" s="196">
        <v>0</v>
      </c>
      <c r="AD12" s="196">
        <v>0</v>
      </c>
      <c r="AE12" s="196">
        <v>0</v>
      </c>
      <c r="AF12" s="202">
        <v>0</v>
      </c>
      <c r="AG12" s="215">
        <v>215</v>
      </c>
      <c r="AH12" s="196">
        <v>775</v>
      </c>
      <c r="AI12" s="196">
        <v>764</v>
      </c>
      <c r="AJ12" s="216">
        <v>224</v>
      </c>
      <c r="AK12" s="195">
        <v>0</v>
      </c>
      <c r="AL12" s="196">
        <v>0</v>
      </c>
      <c r="AM12" s="196">
        <v>0</v>
      </c>
      <c r="AN12" s="202">
        <v>0</v>
      </c>
      <c r="AO12" s="283">
        <v>8</v>
      </c>
      <c r="AP12" s="168">
        <v>8</v>
      </c>
      <c r="AQ12" s="168">
        <v>8</v>
      </c>
      <c r="AR12" s="167">
        <v>8</v>
      </c>
      <c r="AS12" s="381" t="s">
        <v>1066</v>
      </c>
      <c r="AT12" s="216"/>
      <c r="AU12" s="215"/>
      <c r="AV12" s="216"/>
      <c r="AW12" s="215"/>
      <c r="AX12" s="216"/>
      <c r="AY12" s="136">
        <f t="shared" si="1"/>
        <v>3138</v>
      </c>
      <c r="AZ12" s="137">
        <f t="shared" si="1"/>
        <v>7842</v>
      </c>
      <c r="BA12" s="137">
        <f t="shared" si="1"/>
        <v>7655</v>
      </c>
      <c r="BB12" s="137">
        <f t="shared" si="1"/>
        <v>3418</v>
      </c>
      <c r="BC12" s="135">
        <f>IF(ISNUMBER(X12),X12," - ")</f>
        <v>4964</v>
      </c>
      <c r="BD12" s="136">
        <f t="shared" si="2"/>
        <v>0.97615404233613878</v>
      </c>
      <c r="BE12" s="137">
        <f t="shared" si="3"/>
        <v>0.44650555192684521</v>
      </c>
      <c r="BF12" s="137">
        <f t="shared" si="4"/>
        <v>0.64846505551926847</v>
      </c>
      <c r="BG12" s="209">
        <f t="shared" si="5"/>
        <v>1.434356629653821</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3257</v>
      </c>
      <c r="J14" s="197">
        <f t="shared" si="7"/>
        <v>8246</v>
      </c>
      <c r="K14" s="197">
        <f t="shared" si="7"/>
        <v>7860</v>
      </c>
      <c r="L14" s="197">
        <f t="shared" si="7"/>
        <v>3653</v>
      </c>
      <c r="M14" s="197">
        <f t="shared" si="7"/>
        <v>1254</v>
      </c>
      <c r="N14" s="197">
        <f t="shared" si="7"/>
        <v>5570</v>
      </c>
      <c r="O14" s="197">
        <f t="shared" si="7"/>
        <v>2308</v>
      </c>
      <c r="P14" s="197">
        <f t="shared" si="7"/>
        <v>1388</v>
      </c>
      <c r="Q14" s="197">
        <f t="shared" si="7"/>
        <v>1106</v>
      </c>
      <c r="R14" s="197">
        <f t="shared" si="7"/>
        <v>6402</v>
      </c>
      <c r="S14" s="197">
        <f t="shared" si="7"/>
        <v>2958</v>
      </c>
      <c r="T14" s="197">
        <f t="shared" si="7"/>
        <v>7188</v>
      </c>
      <c r="U14" s="197">
        <f t="shared" si="7"/>
        <v>6987</v>
      </c>
      <c r="V14" s="197">
        <f t="shared" si="7"/>
        <v>3257</v>
      </c>
      <c r="W14" s="197">
        <f t="shared" si="7"/>
        <v>1173</v>
      </c>
      <c r="X14" s="197">
        <f t="shared" si="7"/>
        <v>5008</v>
      </c>
      <c r="Y14" s="197">
        <f t="shared" si="7"/>
        <v>224</v>
      </c>
      <c r="Z14" s="197">
        <f t="shared" si="7"/>
        <v>786</v>
      </c>
      <c r="AA14" s="197">
        <f t="shared" si="7"/>
        <v>780</v>
      </c>
      <c r="AB14" s="197">
        <f t="shared" si="7"/>
        <v>232</v>
      </c>
      <c r="AC14" s="197">
        <f t="shared" si="7"/>
        <v>0</v>
      </c>
      <c r="AD14" s="197">
        <f t="shared" si="7"/>
        <v>0</v>
      </c>
      <c r="AE14" s="197">
        <f t="shared" si="7"/>
        <v>0</v>
      </c>
      <c r="AF14" s="197">
        <f>SUBTOTAL(9,AF9:AF13)</f>
        <v>0</v>
      </c>
      <c r="AG14" s="197">
        <f t="shared" ref="AG14:AT14" si="8">SUBTOTAL(9,AG8:AG13)</f>
        <v>215</v>
      </c>
      <c r="AH14" s="197">
        <f t="shared" si="8"/>
        <v>775</v>
      </c>
      <c r="AI14" s="197">
        <f t="shared" si="8"/>
        <v>764</v>
      </c>
      <c r="AJ14" s="197">
        <f t="shared" si="8"/>
        <v>224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3173</v>
      </c>
      <c r="AZ14" s="197">
        <f>SUBTOTAL(9,AZ8:AZ13)</f>
        <v>7963</v>
      </c>
      <c r="BA14" s="197">
        <f>SUBTOTAL(9,BA8:BA13)</f>
        <v>7751</v>
      </c>
      <c r="BB14" s="197">
        <f>SUBTOTAL(9,BB8:BB13)</f>
        <v>3481</v>
      </c>
      <c r="BC14" s="197">
        <f>SUBTOTAL(9,BC8:BC13)</f>
        <v>4997</v>
      </c>
      <c r="BD14" s="219">
        <f>IF(ISNUMBER(BA14/AZ14),BA14/AZ14," - ")</f>
        <v>0.97337686801456735</v>
      </c>
      <c r="BE14" s="220">
        <f>IF(ISNUMBER(BB14/BA14),BB14/BA14, " - ")</f>
        <v>0.44910334150432202</v>
      </c>
      <c r="BF14" s="220">
        <f>IF(ISNUMBER(BC14/BA14),BC14/BA14, " - ")</f>
        <v>0.644691007611921</v>
      </c>
      <c r="BG14" s="221">
        <f>IF(ISNUMBER((AY14+AZ14)/BA14),(AY14+AZ14)/BA14," - ")</f>
        <v>1.436717842858986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1172</v>
      </c>
      <c r="J17" s="196">
        <v>8880</v>
      </c>
      <c r="K17" s="196">
        <v>8679</v>
      </c>
      <c r="L17" s="196">
        <v>1541</v>
      </c>
      <c r="M17" s="196">
        <v>778</v>
      </c>
      <c r="N17" s="196">
        <v>6172</v>
      </c>
      <c r="O17" s="194">
        <v>70</v>
      </c>
      <c r="P17" s="196">
        <v>355</v>
      </c>
      <c r="Q17" s="196">
        <v>333</v>
      </c>
      <c r="R17" s="196">
        <v>311</v>
      </c>
      <c r="S17" s="196">
        <v>1005</v>
      </c>
      <c r="T17" s="196">
        <v>7611</v>
      </c>
      <c r="U17" s="196">
        <v>7648</v>
      </c>
      <c r="V17" s="196">
        <v>1172</v>
      </c>
      <c r="W17" s="196">
        <v>957</v>
      </c>
      <c r="X17" s="202">
        <v>5005</v>
      </c>
      <c r="Y17" s="215">
        <v>0</v>
      </c>
      <c r="Z17" s="196">
        <v>0</v>
      </c>
      <c r="AA17" s="196">
        <v>0</v>
      </c>
      <c r="AB17" s="196">
        <v>0</v>
      </c>
      <c r="AC17" s="196">
        <v>10</v>
      </c>
      <c r="AD17" s="196">
        <v>49</v>
      </c>
      <c r="AE17" s="196">
        <v>42</v>
      </c>
      <c r="AF17" s="202">
        <v>17</v>
      </c>
      <c r="AG17" s="215">
        <v>0</v>
      </c>
      <c r="AH17" s="196">
        <v>0</v>
      </c>
      <c r="AI17" s="196">
        <v>0</v>
      </c>
      <c r="AJ17" s="216">
        <v>0</v>
      </c>
      <c r="AK17" s="195">
        <v>0</v>
      </c>
      <c r="AL17" s="196">
        <v>49</v>
      </c>
      <c r="AM17" s="196">
        <v>39</v>
      </c>
      <c r="AN17" s="202">
        <v>10</v>
      </c>
      <c r="AO17" s="283">
        <v>8</v>
      </c>
      <c r="AP17" s="168">
        <v>8</v>
      </c>
      <c r="AQ17" s="168">
        <v>8</v>
      </c>
      <c r="AR17" s="168">
        <v>8</v>
      </c>
      <c r="AS17" s="381" t="s">
        <v>649</v>
      </c>
      <c r="AT17" s="216"/>
      <c r="AU17" s="215"/>
      <c r="AV17" s="216"/>
      <c r="AW17" s="215"/>
      <c r="AX17" s="216"/>
      <c r="AY17" s="136">
        <f t="shared" si="10"/>
        <v>1005</v>
      </c>
      <c r="AZ17" s="137">
        <f t="shared" si="10"/>
        <v>7611</v>
      </c>
      <c r="BA17" s="137">
        <f t="shared" si="10"/>
        <v>7648</v>
      </c>
      <c r="BB17" s="137">
        <f t="shared" si="10"/>
        <v>1172</v>
      </c>
      <c r="BC17" s="135">
        <f>IF(ISNUMBER(W17),W17," - ")</f>
        <v>957</v>
      </c>
      <c r="BD17" s="136">
        <f t="shared" ref="BD17:BD22" si="12">IF(ISNUMBER(BA17/AZ17),BA17/AZ17," - ")</f>
        <v>1.0048613848377348</v>
      </c>
      <c r="BE17" s="137">
        <f t="shared" ref="BE17:BE22" si="13">IF(ISNUMBER(BB17/BA17),BB17/BA17, " - ")</f>
        <v>0.15324267782426779</v>
      </c>
      <c r="BF17" s="137">
        <f t="shared" ref="BF17:BF22" si="14">IF(ISNUMBER(BC17/BA17),BC17/BA17, " - ")</f>
        <v>0.12513075313807531</v>
      </c>
      <c r="BG17" s="209">
        <f t="shared" si="11"/>
        <v>1.1265690376569037</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74</v>
      </c>
      <c r="J18" s="196">
        <v>1017</v>
      </c>
      <c r="K18" s="196">
        <v>1004</v>
      </c>
      <c r="L18" s="196">
        <v>92</v>
      </c>
      <c r="M18" s="196">
        <v>80</v>
      </c>
      <c r="N18" s="196">
        <v>505</v>
      </c>
      <c r="O18" s="196">
        <v>4</v>
      </c>
      <c r="P18" s="196">
        <v>11</v>
      </c>
      <c r="Q18" s="196">
        <v>11</v>
      </c>
      <c r="R18" s="196">
        <v>3</v>
      </c>
      <c r="S18" s="196">
        <v>58</v>
      </c>
      <c r="T18" s="196">
        <v>982</v>
      </c>
      <c r="U18" s="196">
        <v>975</v>
      </c>
      <c r="V18" s="196">
        <v>74</v>
      </c>
      <c r="W18" s="196">
        <v>63</v>
      </c>
      <c r="X18" s="202">
        <v>492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1056</v>
      </c>
      <c r="AT18" s="223"/>
      <c r="AU18" s="213"/>
      <c r="AV18" s="223"/>
      <c r="AW18" s="213"/>
      <c r="AX18" s="223"/>
      <c r="AY18" s="138">
        <f t="shared" ref="AY18:BB19" si="15">IF(ISNUMBER(S18),S18," - ")</f>
        <v>58</v>
      </c>
      <c r="AZ18" s="139">
        <f t="shared" si="15"/>
        <v>982</v>
      </c>
      <c r="BA18" s="139">
        <f t="shared" si="15"/>
        <v>975</v>
      </c>
      <c r="BB18" s="139">
        <f t="shared" si="15"/>
        <v>74</v>
      </c>
      <c r="BC18" s="135">
        <f>IF(ISNUMBER(W18),W18," - ")</f>
        <v>63</v>
      </c>
      <c r="BD18" s="136">
        <f>IF(ISNUMBER(BA18/AZ18),BA18/AZ18," - ")</f>
        <v>0.99287169042769863</v>
      </c>
      <c r="BE18" s="137">
        <f>IF(ISNUMBER(BB18/BA18),BB18/BA18, " - ")</f>
        <v>7.5897435897435903E-2</v>
      </c>
      <c r="BF18" s="137">
        <f>IF(ISNUMBER(BC18/BA18),BC18/BA18, " - ")</f>
        <v>6.4615384615384616E-2</v>
      </c>
      <c r="BG18" s="209">
        <f>IF(ISNUMBER((AY18+AZ18)/BA18),(AY18+AZ18)/BA18," - ")</f>
        <v>1.0666666666666667</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1610</v>
      </c>
      <c r="J21" s="196">
        <v>1897</v>
      </c>
      <c r="K21" s="196">
        <v>2004</v>
      </c>
      <c r="L21" s="196">
        <v>1890</v>
      </c>
      <c r="M21" s="196">
        <v>1816</v>
      </c>
      <c r="N21" s="196">
        <v>806</v>
      </c>
      <c r="O21" s="196">
        <v>1341</v>
      </c>
      <c r="P21" s="196">
        <v>2458</v>
      </c>
      <c r="Q21" s="196">
        <v>3026</v>
      </c>
      <c r="R21" s="196">
        <v>3087</v>
      </c>
      <c r="S21" s="196">
        <v>1614</v>
      </c>
      <c r="T21" s="196">
        <v>1898</v>
      </c>
      <c r="U21" s="196">
        <v>2063</v>
      </c>
      <c r="V21" s="196">
        <v>1610</v>
      </c>
      <c r="W21" s="196">
        <v>1674</v>
      </c>
      <c r="X21" s="202">
        <v>1009</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5</v>
      </c>
      <c r="AP21" s="168">
        <v>5</v>
      </c>
      <c r="AQ21" s="168">
        <v>5</v>
      </c>
      <c r="AR21" s="168">
        <v>5</v>
      </c>
      <c r="AS21" s="381" t="s">
        <v>205</v>
      </c>
      <c r="AT21" s="345"/>
      <c r="AU21" s="215"/>
      <c r="AV21" s="216"/>
      <c r="AW21" s="215"/>
      <c r="AX21" s="216"/>
      <c r="AY21" s="138">
        <f t="shared" si="16"/>
        <v>1614</v>
      </c>
      <c r="AZ21" s="139">
        <f t="shared" si="17"/>
        <v>1898</v>
      </c>
      <c r="BA21" s="139">
        <f t="shared" si="18"/>
        <v>2063</v>
      </c>
      <c r="BB21" s="139">
        <f t="shared" si="19"/>
        <v>1610</v>
      </c>
      <c r="BC21" s="135">
        <f t="shared" si="20"/>
        <v>1674</v>
      </c>
      <c r="BD21" s="136">
        <f t="shared" si="12"/>
        <v>1.0869336143308745</v>
      </c>
      <c r="BE21" s="137">
        <f t="shared" si="13"/>
        <v>0.78041686863790594</v>
      </c>
      <c r="BF21" s="137">
        <f t="shared" si="14"/>
        <v>0.81143965099369852</v>
      </c>
      <c r="BG21" s="209">
        <f t="shared" si="11"/>
        <v>1.7023751817741153</v>
      </c>
      <c r="BH21" s="168">
        <v>5</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2856</v>
      </c>
      <c r="J23" s="197">
        <f t="shared" si="21"/>
        <v>11794</v>
      </c>
      <c r="K23" s="197">
        <f t="shared" si="21"/>
        <v>11687</v>
      </c>
      <c r="L23" s="197">
        <f t="shared" si="21"/>
        <v>3523</v>
      </c>
      <c r="M23" s="197">
        <f t="shared" si="21"/>
        <v>2674</v>
      </c>
      <c r="N23" s="197">
        <f t="shared" si="21"/>
        <v>7483</v>
      </c>
      <c r="O23" s="197">
        <f t="shared" si="21"/>
        <v>1415</v>
      </c>
      <c r="P23" s="197">
        <f t="shared" si="21"/>
        <v>2824</v>
      </c>
      <c r="Q23" s="197">
        <f t="shared" si="21"/>
        <v>3370</v>
      </c>
      <c r="R23" s="197">
        <f t="shared" si="21"/>
        <v>3401</v>
      </c>
      <c r="S23" s="197">
        <f t="shared" si="21"/>
        <v>2677</v>
      </c>
      <c r="T23" s="197">
        <f t="shared" si="21"/>
        <v>10491</v>
      </c>
      <c r="U23" s="197">
        <f t="shared" si="21"/>
        <v>10686</v>
      </c>
      <c r="V23" s="197">
        <f t="shared" si="21"/>
        <v>2856</v>
      </c>
      <c r="W23" s="197">
        <f t="shared" si="21"/>
        <v>2694</v>
      </c>
      <c r="X23" s="197">
        <f t="shared" si="21"/>
        <v>6506</v>
      </c>
      <c r="Y23" s="197">
        <f t="shared" si="21"/>
        <v>0</v>
      </c>
      <c r="Z23" s="197">
        <f t="shared" si="21"/>
        <v>0</v>
      </c>
      <c r="AA23" s="197">
        <f t="shared" si="21"/>
        <v>0</v>
      </c>
      <c r="AB23" s="197">
        <f t="shared" si="21"/>
        <v>0</v>
      </c>
      <c r="AC23" s="197">
        <f t="shared" si="21"/>
        <v>10</v>
      </c>
      <c r="AD23" s="197">
        <f t="shared" si="21"/>
        <v>49</v>
      </c>
      <c r="AE23" s="197">
        <f t="shared" si="21"/>
        <v>42</v>
      </c>
      <c r="AF23" s="197">
        <f t="shared" si="21"/>
        <v>17</v>
      </c>
      <c r="AG23" s="197">
        <f t="shared" si="21"/>
        <v>0</v>
      </c>
      <c r="AH23" s="197">
        <f t="shared" si="21"/>
        <v>0</v>
      </c>
      <c r="AI23" s="197">
        <f t="shared" si="21"/>
        <v>0</v>
      </c>
      <c r="AJ23" s="197">
        <f t="shared" si="21"/>
        <v>0</v>
      </c>
      <c r="AK23" s="197">
        <f t="shared" si="21"/>
        <v>0</v>
      </c>
      <c r="AL23" s="197">
        <f t="shared" si="21"/>
        <v>49</v>
      </c>
      <c r="AM23" s="197">
        <f t="shared" si="21"/>
        <v>39</v>
      </c>
      <c r="AN23" s="197">
        <f t="shared" si="21"/>
        <v>10</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2677</v>
      </c>
      <c r="AZ23" s="197">
        <f>SUBTOTAL(9,AZ15:AZ22)</f>
        <v>10491</v>
      </c>
      <c r="BA23" s="197">
        <f>SUBTOTAL(9,BA15:BA22)</f>
        <v>10686</v>
      </c>
      <c r="BB23" s="197">
        <f>SUBTOTAL(9,BB15:BB22)</f>
        <v>2856</v>
      </c>
      <c r="BC23" s="197">
        <f>SUBTOTAL(9,BC15:BC22)</f>
        <v>2694</v>
      </c>
      <c r="BD23" s="219">
        <f>IF(ISNUMBER(BA23/AZ23),BA23/AZ23," - ")</f>
        <v>1.0185873605947955</v>
      </c>
      <c r="BE23" s="220">
        <f>IF(ISNUMBER(BB23/BA23),BB23/BA23, " - ")</f>
        <v>0.2672655811341943</v>
      </c>
      <c r="BF23" s="220">
        <f>IF(ISNUMBER(BC23/BA23),BC23/BA23, " - ")</f>
        <v>0.25210555867490175</v>
      </c>
      <c r="BG23" s="221">
        <f>IF(ISNUMBER((AY23+AZ23)/BA23),(AY23+AZ23)/BA23," - ")</f>
        <v>1.2322665169380498</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6113</v>
      </c>
      <c r="J31" s="144">
        <f t="shared" si="36"/>
        <v>20040</v>
      </c>
      <c r="K31" s="144">
        <f t="shared" si="36"/>
        <v>19547</v>
      </c>
      <c r="L31" s="144">
        <f t="shared" si="36"/>
        <v>7176</v>
      </c>
      <c r="M31" s="144">
        <f t="shared" si="36"/>
        <v>3928</v>
      </c>
      <c r="N31" s="144">
        <f t="shared" si="36"/>
        <v>13053</v>
      </c>
      <c r="O31" s="144">
        <f t="shared" si="36"/>
        <v>3723</v>
      </c>
      <c r="P31" s="144">
        <f t="shared" si="36"/>
        <v>4212</v>
      </c>
      <c r="Q31" s="144">
        <f t="shared" si="36"/>
        <v>4476</v>
      </c>
      <c r="R31" s="144">
        <f t="shared" si="36"/>
        <v>9803</v>
      </c>
      <c r="S31" s="144">
        <f t="shared" si="36"/>
        <v>5635</v>
      </c>
      <c r="T31" s="144">
        <f t="shared" si="36"/>
        <v>17679</v>
      </c>
      <c r="U31" s="144">
        <f t="shared" si="36"/>
        <v>17673</v>
      </c>
      <c r="V31" s="144">
        <f t="shared" si="36"/>
        <v>6113</v>
      </c>
      <c r="W31" s="144">
        <f t="shared" si="36"/>
        <v>3867</v>
      </c>
      <c r="X31" s="144">
        <f t="shared" si="36"/>
        <v>11514</v>
      </c>
      <c r="Y31" s="144">
        <f t="shared" si="36"/>
        <v>224</v>
      </c>
      <c r="Z31" s="144">
        <f t="shared" si="36"/>
        <v>786</v>
      </c>
      <c r="AA31" s="144">
        <f t="shared" si="36"/>
        <v>780</v>
      </c>
      <c r="AB31" s="144">
        <f t="shared" si="36"/>
        <v>232</v>
      </c>
      <c r="AC31" s="144">
        <f t="shared" si="36"/>
        <v>10</v>
      </c>
      <c r="AD31" s="144">
        <f t="shared" si="36"/>
        <v>49</v>
      </c>
      <c r="AE31" s="144">
        <f t="shared" si="36"/>
        <v>42</v>
      </c>
      <c r="AF31" s="144">
        <f t="shared" si="36"/>
        <v>17</v>
      </c>
      <c r="AG31" s="144">
        <f t="shared" si="36"/>
        <v>215</v>
      </c>
      <c r="AH31" s="144">
        <f t="shared" si="36"/>
        <v>775</v>
      </c>
      <c r="AI31" s="144">
        <f t="shared" si="36"/>
        <v>764</v>
      </c>
      <c r="AJ31" s="144">
        <f t="shared" si="36"/>
        <v>224</v>
      </c>
      <c r="AK31" s="144">
        <f t="shared" si="36"/>
        <v>0</v>
      </c>
      <c r="AL31" s="144">
        <f t="shared" si="36"/>
        <v>49</v>
      </c>
      <c r="AM31" s="144">
        <f t="shared" si="36"/>
        <v>39</v>
      </c>
      <c r="AN31" s="224">
        <f t="shared" si="36"/>
        <v>10</v>
      </c>
      <c r="AO31" s="225">
        <v>14</v>
      </c>
      <c r="AP31" s="225">
        <v>14</v>
      </c>
      <c r="AQ31" s="225">
        <v>14</v>
      </c>
      <c r="AR31" s="225">
        <v>14</v>
      </c>
      <c r="AS31" s="166">
        <f t="shared" si="36"/>
        <v>0</v>
      </c>
      <c r="AT31" s="166">
        <f t="shared" si="36"/>
        <v>0</v>
      </c>
      <c r="AU31" s="225"/>
      <c r="AV31" s="226"/>
      <c r="AW31" s="225"/>
      <c r="AX31" s="226"/>
      <c r="AY31" s="143">
        <f>SUBTOTAL(9,AY9:AY30)</f>
        <v>5850</v>
      </c>
      <c r="AZ31" s="144">
        <f>SUBTOTAL(9,AZ9:AZ30)</f>
        <v>18454</v>
      </c>
      <c r="BA31" s="144">
        <f>SUBTOTAL(9,BA9:BA30)</f>
        <v>18437</v>
      </c>
      <c r="BB31" s="144">
        <f>SUBTOTAL(9,BB9:BB30)</f>
        <v>6337</v>
      </c>
      <c r="BC31" s="145">
        <f>SUBTOTAL(9,BC9:BC30)</f>
        <v>7691</v>
      </c>
      <c r="BD31" s="227">
        <f>IF(ISNUMBER(BA31/AZ31),BA31/AZ31," - ")</f>
        <v>0.99907879050612336</v>
      </c>
      <c r="BE31" s="224">
        <f>IF(ISNUMBER(BB31/BA31),BB31/BA31, " - ")</f>
        <v>0.34371101589195641</v>
      </c>
      <c r="BF31" s="224">
        <f>IF(ISNUMBER(BC31/BA31),BC31/BA31, " - ")</f>
        <v>0.41715029560123662</v>
      </c>
      <c r="BG31" s="145">
        <f>IF(ISNUMBER((AY31+AZ31)/BA31),(AY31+AZ31)/BA31," - ")</f>
        <v>1.3182187991538754</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mpbn6Cb1avZh0afFOREYCum2o+t1CdKfjQPGd5raldH+TvSfEbonKxNc709YxAuegwxBNqeXiBRT0tAI4gIg==" saltValue="FWVXGIk0rxmq2qO/CrpL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4mCXecq+/s9Q+plXJdMZ3pKZJo0AQBttisWOoEYOz2wlK6HAOQgcMjpKKc5vkI6egmovrDEXBpfjIbFM18v7w==" saltValue="a3eBK+OCAN2Wrga+vtiS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GETAFE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1</v>
      </c>
      <c r="F10" s="552">
        <f>IF(ISNUMBER(Datos!L10+Datos!K10-Datos!J10),Datos!L10+Datos!K10-Datos!J10," - ")</f>
        <v>48</v>
      </c>
      <c r="G10" s="543">
        <f>IF(ISNUMBER(Datos!I10),Datos!I10," - ")</f>
        <v>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126</v>
      </c>
      <c r="AC10" s="547">
        <f>IF(ISNUMBER(Datos!Q10),Datos!Q10," - ")</f>
        <v>26</v>
      </c>
      <c r="AD10" s="549"/>
      <c r="AE10" s="563"/>
      <c r="AF10" s="551">
        <f>IF(ISNUMBER(Datos!L10),Datos!L10,"-")</f>
        <v>48</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48</v>
      </c>
      <c r="BD10" s="693">
        <f>IF(ISNUMBER(Datos!N10),Datos!N10," - ")</f>
        <v>56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4.1904761904761898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-3.5714285714285712E-2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320</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786</v>
      </c>
      <c r="O12" s="549"/>
      <c r="P12" s="549"/>
      <c r="Q12" s="547">
        <f>IF(ISNUMBER(Datos!P12),Datos!P12,0)</f>
        <v>1364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232</v>
      </c>
      <c r="AI12" s="549" t="str">
        <f>IF(ISNUMBER(Datos!CD12),Datos!CD12,"-")</f>
        <v>-</v>
      </c>
      <c r="AJ12" s="549" t="str">
        <f>IF(ISNUMBER(Datos!EN12),Datos!EN12," - ")</f>
        <v xml:space="preserve"> - </v>
      </c>
      <c r="AK12" s="549"/>
      <c r="AL12" s="550"/>
      <c r="AM12" s="766">
        <f>IF(ISNUMBER(Datos!R12),Datos!R12," - ")</f>
        <v>6348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1206</v>
      </c>
      <c r="BD12" s="693">
        <f>IF(ISNUMBER(Datos!N12),Datos!N12," - ")</f>
        <v>5514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0.95598472939591284</v>
      </c>
      <c r="BH12" s="764">
        <f>IF(ISNUMBER(((IF(J_V="SI",Datos!L12/Datos!K12,(Datos!L12+Datos!AB12)/(Datos!K12+Datos!AA12)))*11)/factor_trimestre),((IF(J_V="SI",Datos!L12/Datos!K12,(Datos!L12+Datos!AB12)/(Datos!K12+Datos!AA12)))*11)/factor_trimestre," - ")</f>
        <v>4.9573643410852712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4.6833773087071241E-2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48</v>
      </c>
      <c r="G14" s="1197">
        <f t="shared" si="1"/>
        <v>63</v>
      </c>
      <c r="H14" s="1198">
        <f t="shared" si="1"/>
        <v>0</v>
      </c>
      <c r="I14" s="1197">
        <f t="shared" si="1"/>
        <v>0</v>
      </c>
      <c r="J14" s="1164">
        <f t="shared" si="1"/>
        <v>0</v>
      </c>
      <c r="K14" s="1164">
        <f t="shared" si="1"/>
        <v>0</v>
      </c>
      <c r="L14" s="1198">
        <f t="shared" si="1"/>
        <v>0</v>
      </c>
      <c r="M14" s="1198">
        <f t="shared" si="1"/>
        <v>0</v>
      </c>
      <c r="N14" s="1198">
        <f t="shared" si="1"/>
        <v>786</v>
      </c>
      <c r="O14" s="1199">
        <f t="shared" si="1"/>
        <v>0</v>
      </c>
      <c r="P14" s="1199">
        <f t="shared" si="1"/>
        <v>0</v>
      </c>
      <c r="Q14" s="1198">
        <f t="shared" si="1"/>
        <v>1388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126</v>
      </c>
      <c r="AC14" s="1198">
        <f t="shared" si="2"/>
        <v>1106</v>
      </c>
      <c r="AD14" s="1198">
        <f t="shared" si="2"/>
        <v>0</v>
      </c>
      <c r="AE14" s="1198">
        <f t="shared" si="2"/>
        <v>0</v>
      </c>
      <c r="AF14" s="1198">
        <f t="shared" si="2"/>
        <v>48</v>
      </c>
      <c r="AG14" s="1198">
        <f t="shared" si="2"/>
        <v>0</v>
      </c>
      <c r="AH14" s="1198">
        <f t="shared" si="2"/>
        <v>232</v>
      </c>
      <c r="AI14" s="1198">
        <f t="shared" si="2"/>
        <v>0</v>
      </c>
      <c r="AJ14" s="1198">
        <f t="shared" si="2"/>
        <v>0</v>
      </c>
      <c r="AK14" s="1198">
        <f t="shared" si="2"/>
        <v>0</v>
      </c>
      <c r="AL14" s="1198">
        <f t="shared" si="2"/>
        <v>0</v>
      </c>
      <c r="AM14" s="1198">
        <f t="shared" si="2"/>
        <v>6402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1254</v>
      </c>
      <c r="BD14" s="1198">
        <f t="shared" si="2"/>
        <v>5570</v>
      </c>
      <c r="BE14" s="1198">
        <f t="shared" si="2"/>
        <v>0</v>
      </c>
      <c r="BF14" s="1198">
        <f t="shared" si="2"/>
        <v>0</v>
      </c>
      <c r="BG14" s="1198">
        <f>IF(ISNUMBER(Datos!K14/Datos!J14),Datos!K14/Datos!J14," - ")</f>
        <v>0.95318942517584282</v>
      </c>
      <c r="BH14" s="1202">
        <f>IF(ISNUMBER(((Datos!L14/Datos!K14)*11)/factor_trimestre),((Datos!L14/Datos!K14)*11)/factor_trimestre," - ")</f>
        <v>5.1123409669211197</v>
      </c>
      <c r="BI14" s="1198">
        <f>IF(ISNUMBER('Resol  Asuntos'!D14/NºAsuntos!G14),'Resol  Asuntos'!D14/NºAsuntos!G14," - ")</f>
        <v>0.1451388888888889</v>
      </c>
      <c r="BJ14" s="1198" t="str">
        <f>IF(ISNUMBER(Datos!CI14/Datos!CJ14),Datos!CI14/Datos!CJ14," - ")</f>
        <v xml:space="preserve"> - </v>
      </c>
      <c r="BK14" s="1198">
        <f>SUBTOTAL(9,BK8:BK13)</f>
        <v>0</v>
      </c>
      <c r="BL14" s="1198">
        <f>IF(ISNUMBER((I14-AB14+L14)/(F14)),(I14-AB14+L14)/(F14)," - ")</f>
        <v>-2.625</v>
      </c>
      <c r="BM14" s="1203">
        <f>SUBTOTAL(9,BM9:BM13)</f>
        <v>1.1119487372785529E-2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510</v>
      </c>
      <c r="C17" s="749" t="str">
        <f>Datos!A17</f>
        <v xml:space="preserve">Jdos. 1ª Instª. e Instr.                        </v>
      </c>
      <c r="D17" s="750"/>
      <c r="E17" s="1555">
        <f>IF(ISNUMBER(Datos!AQ17),Datos!AQ17," - ")</f>
        <v>8</v>
      </c>
      <c r="F17" s="740">
        <f>IF(ISNUMBER(AF17+AB17-Datos!J17-L17),AF17+AB17-Datos!J17-L17," - ")</f>
        <v>1340</v>
      </c>
      <c r="G17" s="743">
        <f>IF(ISNUMBER(IF(D_I="SI",Datos!I17,Datos!I17+Datos!AC17)),IF(D_I="SI",Datos!I17,Datos!I17+Datos!AC17)," - ")</f>
        <v>1172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8679</v>
      </c>
      <c r="AC17" s="240">
        <f>IF(ISNUMBER(Datos!Q17),Datos!Q17," - ")</f>
        <v>333</v>
      </c>
      <c r="AD17" s="374"/>
      <c r="AE17" s="562"/>
      <c r="AF17" s="741">
        <f>IF(ISNUMBER(IF(D_I="SI",Datos!L17,Datos!L17+Datos!AF17)),IF(D_I="SI",Datos!L17,Datos!L17+Datos!AF17)," - ")</f>
        <v>1541</v>
      </c>
      <c r="AG17" s="374"/>
      <c r="AH17" s="374"/>
      <c r="AI17" s="374"/>
      <c r="AJ17" s="549"/>
      <c r="AK17" s="374"/>
      <c r="AL17" s="545"/>
      <c r="AM17" s="375">
        <f>IF(ISNUMBER(Datos!R17),Datos!R17," - ")</f>
        <v>311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778</v>
      </c>
      <c r="BD17" s="243">
        <f>IF(ISNUMBER(Datos!N17),Datos!N17," - ")</f>
        <v>6172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0.97736486486486485</v>
      </c>
      <c r="BH17" s="764">
        <f>IF(ISNUMBER(((IF(D_I="SI",Datos!L17/Datos!K17,(Datos!L17+Datos!AF17)/(Datos!K17+Datos!AE17)))*11)/factor_trimestre),((IF(D_I="SI",Datos!L17/Datos!K17,(Datos!L17+Datos!AF17)/(Datos!K17+Datos!AE17)))*11)/factor_trimestre," - ")</f>
        <v>1.9531051964512041</v>
      </c>
      <c r="BI17" s="266">
        <f>IF(ISNUMBER('Resol  Asuntos'!D17/NºAsuntos!G17),'Resol  Asuntos'!D17/NºAsuntos!G17," - ")</f>
        <v>8.9641663786150474E-2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1004</v>
      </c>
      <c r="AC18" s="547">
        <f>IF(ISNUMBER(Datos!Q18),Datos!Q18," - ")</f>
        <v>11</v>
      </c>
      <c r="AD18" s="549"/>
      <c r="AE18" s="562"/>
      <c r="AF18" s="551">
        <f>IF(ISNUMBER(Datos!L18),Datos!L18,"-")</f>
        <v>92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80</v>
      </c>
      <c r="BD18" s="693">
        <f>IF(ISNUMBER(Datos!N18),Datos!N18," - ")</f>
        <v>505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0.98721730580137657</v>
      </c>
      <c r="BH18" s="764">
        <f>IF(ISNUMBER(((IF(D_I="SI",Datos!L18/Datos!K18,(Datos!L18+Datos!AF18)/(Datos!K18+Datos!AE18)))*11)/factor_trimestre),((IF(D_I="SI",Datos!L18/Datos!K18,(Datos!L18+Datos!AF18)/(Datos!K18+Datos!AE18)))*11)/factor_trimestre," - ")</f>
        <v>1.0079681274900398</v>
      </c>
      <c r="BI18" s="763">
        <f>IF(ISNUMBER('Resol  Asuntos'!D18/NºAsuntos!G18),'Resol  Asuntos'!D18/NºAsuntos!G18," - ")</f>
        <v>7.9681274900398405E-2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5</v>
      </c>
      <c r="B21" s="746" t="s">
        <v>510</v>
      </c>
      <c r="C21" s="747" t="str">
        <f>Datos!A21</f>
        <v xml:space="preserve">Jdos. de lo Penal                               </v>
      </c>
      <c r="D21" s="601"/>
      <c r="E21" s="1380">
        <f>IF(ISNUMBER(Datos!AQ21),Datos!AQ21," - ")</f>
        <v>5</v>
      </c>
      <c r="F21" s="552">
        <f>IF(ISNUMBER(Datos!L21+Datos!K21-Datos!J21),Datos!L21+Datos!K21-Datos!J21," - ")</f>
        <v>1997</v>
      </c>
      <c r="G21" s="543">
        <f>IF(ISNUMBER(Datos!I21),Datos!I21," - ")</f>
        <v>1610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2458</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2004</v>
      </c>
      <c r="AC21" s="547">
        <f>IF(ISNUMBER(Datos!Q21),Datos!Q21," - ")</f>
        <v>3026</v>
      </c>
      <c r="AD21" s="549"/>
      <c r="AE21" s="563"/>
      <c r="AF21" s="551">
        <f>IF(ISNUMBER(Datos!L21),Datos!L21,"-")</f>
        <v>1890</v>
      </c>
      <c r="AG21" s="549"/>
      <c r="AH21" s="549"/>
      <c r="AI21" s="549"/>
      <c r="AJ21" s="549"/>
      <c r="AK21" s="549"/>
      <c r="AL21" s="550"/>
      <c r="AM21" s="766">
        <f>IF(ISNUMBER(Datos!R21),Datos!R21," - ")</f>
        <v>3087</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1816</v>
      </c>
      <c r="BD21" s="693"/>
      <c r="BE21" s="693" t="str">
        <f>IF(ISNUMBER(Datos!BW21),Datos!BW21," - ")</f>
        <v xml:space="preserve"> - </v>
      </c>
      <c r="BF21" s="762" t="str">
        <f>IF(ISNUMBER(Datos!BX21),Datos!BX21," - ")</f>
        <v xml:space="preserve"> - </v>
      </c>
      <c r="BG21" s="763">
        <f>IF(ISNUMBER(Datos!K21/Datos!J21),Datos!K21/Datos!J21," - ")</f>
        <v>1.0564048497627834</v>
      </c>
      <c r="BH21" s="764">
        <f>IF(ISNUMBER(((Datos!L21/Datos!K21)*11)/factor_trimestre),((Datos!L21/Datos!K21)*11)/factor_trimestre," - ")</f>
        <v>10.374251497005989</v>
      </c>
      <c r="BI21" s="763">
        <f>IF(ISNUMBER('Resol  Asuntos'!D21/NºAsuntos!G21),'Resol  Asuntos'!D21/NºAsuntos!G21," - ")</f>
        <v>0.90618762475049897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14</v>
      </c>
      <c r="F23" s="1197">
        <f>SUBTOTAL(9,F16:F22)</f>
        <v>3337</v>
      </c>
      <c r="G23" s="1197">
        <f>SUBTOTAL(9,G16:G22)</f>
        <v>2856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11687</v>
      </c>
      <c r="AC23" s="1198">
        <f t="shared" si="5"/>
        <v>3370</v>
      </c>
      <c r="AD23" s="1198">
        <f t="shared" si="5"/>
        <v>0</v>
      </c>
      <c r="AE23" s="1198">
        <f t="shared" si="5"/>
        <v>0</v>
      </c>
      <c r="AF23" s="1198">
        <f t="shared" si="5"/>
        <v>3523</v>
      </c>
      <c r="AG23" s="1198">
        <f t="shared" si="5"/>
        <v>0</v>
      </c>
      <c r="AH23" s="1198">
        <f t="shared" si="5"/>
        <v>0</v>
      </c>
      <c r="AI23" s="1198">
        <f t="shared" si="5"/>
        <v>0</v>
      </c>
      <c r="AJ23" s="1198">
        <f t="shared" si="5"/>
        <v>0</v>
      </c>
      <c r="AK23" s="1198">
        <f t="shared" si="5"/>
        <v>0</v>
      </c>
      <c r="AL23" s="1198">
        <f t="shared" si="5"/>
        <v>0</v>
      </c>
      <c r="AM23" s="1198">
        <f t="shared" si="5"/>
        <v>3401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2674</v>
      </c>
      <c r="BD23" s="1198">
        <f t="shared" si="5"/>
        <v>6677</v>
      </c>
      <c r="BE23" s="1198">
        <f t="shared" si="5"/>
        <v>0</v>
      </c>
      <c r="BF23" s="1198">
        <f t="shared" si="5"/>
        <v>0</v>
      </c>
      <c r="BG23" s="1198">
        <f>IF(ISNUMBER(Datos!K23/Datos!J23),Datos!K23/Datos!J23," - ")</f>
        <v>0.99092759030015265</v>
      </c>
      <c r="BH23" s="1202">
        <f>IF(ISNUMBER(((Datos!L23/Datos!K23)*11)/factor_trimestre),((Datos!L23/Datos!K23)*11)/factor_trimestre," - ")</f>
        <v>3.3159065628476085</v>
      </c>
      <c r="BI23" s="1198">
        <f>SUBTOTAL(9,BI16:BI22)</f>
        <v>1.0755105634370479</v>
      </c>
      <c r="BJ23" s="1198">
        <f>SUBTOTAL(9,BJ16:BJ22)</f>
        <v>0</v>
      </c>
      <c r="BK23" s="1198">
        <f>SUBTOTAL(9,BK16:BK22)</f>
        <v>0</v>
      </c>
      <c r="BL23" s="1198">
        <f>IF(ISNUMBER((I23-AB23+L23)/(F23)),(I23-AB23+L23)/(F23)," - ")</f>
        <v>-3.5022475277195086</v>
      </c>
      <c r="BM23" s="1205">
        <f>IF(ISNUMBER((Datos!P23-Datos!Q23)/(Datos!R23-Datos!P23+Datos!Q23)),(Datos!P23-Datos!Q23)/(Datos!R23-Datos!P23+Datos!Q23)," - ")</f>
        <v>-0.13833291107170004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23</v>
      </c>
      <c r="F31" s="1117">
        <f t="shared" si="18"/>
        <v>3385</v>
      </c>
      <c r="G31" s="1117">
        <f t="shared" si="18"/>
        <v>2919</v>
      </c>
      <c r="H31" s="1119">
        <f t="shared" si="18"/>
        <v>0</v>
      </c>
      <c r="I31" s="1117">
        <f t="shared" si="18"/>
        <v>0</v>
      </c>
      <c r="J31" s="1119">
        <f t="shared" si="18"/>
        <v>0</v>
      </c>
      <c r="K31" s="1119">
        <f t="shared" si="18"/>
        <v>0</v>
      </c>
      <c r="L31" s="1180">
        <f t="shared" si="18"/>
        <v>0</v>
      </c>
      <c r="M31" s="1180">
        <f t="shared" si="18"/>
        <v>0</v>
      </c>
      <c r="N31" s="1180">
        <f t="shared" si="18"/>
        <v>786</v>
      </c>
      <c r="O31" s="1180">
        <f t="shared" si="18"/>
        <v>0</v>
      </c>
      <c r="P31" s="1180">
        <f t="shared" si="18"/>
        <v>0</v>
      </c>
      <c r="Q31" s="1119">
        <f t="shared" si="18"/>
        <v>4212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11813</v>
      </c>
      <c r="AC31" s="1118">
        <f t="shared" si="19"/>
        <v>4476</v>
      </c>
      <c r="AD31" s="1118">
        <f t="shared" si="19"/>
        <v>0</v>
      </c>
      <c r="AE31" s="1118">
        <f t="shared" si="19"/>
        <v>0</v>
      </c>
      <c r="AF31" s="1125">
        <f t="shared" si="19"/>
        <v>3571</v>
      </c>
      <c r="AG31" s="1125">
        <f t="shared" si="19"/>
        <v>0</v>
      </c>
      <c r="AH31" s="1125">
        <f t="shared" si="19"/>
        <v>232</v>
      </c>
      <c r="AI31" s="1125">
        <f t="shared" si="19"/>
        <v>0</v>
      </c>
      <c r="AJ31" s="1118">
        <f t="shared" si="19"/>
        <v>0</v>
      </c>
      <c r="AK31" s="1125">
        <f t="shared" si="19"/>
        <v>0</v>
      </c>
      <c r="AL31" s="1125">
        <f t="shared" si="19"/>
        <v>0</v>
      </c>
      <c r="AM31" s="1125">
        <f t="shared" si="19"/>
        <v>9803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3928</v>
      </c>
      <c r="BD31" s="1117">
        <f t="shared" si="19"/>
        <v>12247</v>
      </c>
      <c r="BE31" s="1117">
        <f t="shared" si="19"/>
        <v>0</v>
      </c>
      <c r="BF31" s="1127">
        <f t="shared" si="19"/>
        <v>0</v>
      </c>
      <c r="BG31" s="1223">
        <f>IF(ISNUMBER(Datos!K31/Datos!J31),Datos!K31/Datos!J31," - ")</f>
        <v>0.97539920159680638</v>
      </c>
      <c r="BH31" s="1223">
        <f>IF(ISNUMBER(((Datos!L31/Datos!K31)*11)/factor_trimestre),((Datos!L31/Datos!K31)*11)/factor_trimestre," - ")</f>
        <v>4.0382667416994931</v>
      </c>
      <c r="BI31" s="1103">
        <f>IF(ISNUMBER(Datos!J31/Datos!I31),Datos!J31/Datos!I31," - ")</f>
        <v>3.2782594470799933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-3.4898079763663219</v>
      </c>
      <c r="BM31" s="1188">
        <f>IF(ISNUMBER((Datos!P31-Datos!Q31+R31)/(Datos!R31-Datos!P31+Datos!Q31-R31)),(Datos!P31-Datos!Q31+R31)/(Datos!R31-Datos!P31+Datos!Q31-R31)," - ")</f>
        <v>-2.6224297208701699E-2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729.75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4.2205290541679759</v>
      </c>
      <c r="F33" s="673">
        <f>IF(ISNUMBER(STDEV(F8:F30)),STDEV(F8:F30),"-")</f>
        <v>1315.0556931896369</v>
      </c>
      <c r="G33" s="674">
        <f>IF(ISNUMBER(STDEV(G8:G30)),STDEV(G8:G30),"-")</f>
        <v>1060.6974457537697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4585.5878186833515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950.76659128889833</v>
      </c>
      <c r="BD33" s="673"/>
      <c r="BE33" s="673">
        <f>IF(ISNUMBER(STDEV(BE8:BE30)),STDEV(BE8:BE30),"-")</f>
        <v>0</v>
      </c>
      <c r="BF33" s="678">
        <f>IF(ISNUMBER(STDEV(BF8:BF30)),STDEV(BF8:BF30),"-")</f>
        <v>0</v>
      </c>
      <c r="BG33" s="1052">
        <f>IF(ISNUMBER(STDEV(BG8:BG30)),STDEV(BG8:BG30),"-")</f>
        <v>3.4589418601819556E-2</v>
      </c>
      <c r="BH33" s="1058">
        <f>IF(ISNUMBER(STDEV(BH8:BH30)),STDEV(BH8:BH30),"-")</f>
        <v>3.0337085544720361</v>
      </c>
      <c r="BI33" s="273">
        <f>IF(ISNUMBER(STDEV(BI8:BI30)),STDEV(BI8:BI30),"-")</f>
        <v>0.48961179781585545</v>
      </c>
      <c r="BJ33" s="244" t="str">
        <f>IF(ISNUMBER(BL33/BM33),BL33/BM33," - ")</f>
        <v xml:space="preserve"> - </v>
      </c>
      <c r="BK33" s="709"/>
      <c r="BL33" s="681">
        <f>IF(ISNUMBER(STDEV(BL8:BL30)),STDEV(BL8:BL30),"-")</f>
        <v>0.62030767562959943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2I9aFKTZuq/rcW9fr36I9mIlI5aHHpF0j0WW8TzLDn9K9Y/xVFdymoW+orGAqbLiCYg8hlvap0U9g8ct9GPSeA==" saltValue="mgc/J8IMiscIkiX+M7x6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GETAFE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1</v>
      </c>
      <c r="F10" s="552">
        <f>IF(ISNUMBER(Datos!L10+Datos!K10-Datos!J10),Datos!L10+Datos!K10-Datos!J10," - ")</f>
        <v>48</v>
      </c>
      <c r="G10" s="552">
        <f>IF(ISNUMBER(Datos!I10),Datos!I10," - ")</f>
        <v>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126</v>
      </c>
      <c r="Z10" s="805">
        <f>IF(ISNUMBER(Datos!Q10),Datos!Q10," - ")</f>
        <v>26</v>
      </c>
      <c r="AA10" s="551">
        <f>IF(ISNUMBER(Datos!L10),Datos!L10,"-")</f>
        <v>48</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48</v>
      </c>
      <c r="AK10" s="693">
        <f>IF(ISNUMBER(Datos!N10),Datos!N10," - ")</f>
        <v>56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4.1904761904761898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-3.5714285714285712E-2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320</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1080</v>
      </c>
      <c r="AA12" s="551" t="str">
        <f>IF(ISNUMBER(IF(J_V="SI",Datos!L12,Datos!L12+Datos!AB12)-IF(Monitorios="SI",Datos!CD12,0)),
                          IF(J_V="SI",Datos!L12,Datos!L12+Datos!AB12)-IF(Monitorios="SI",Datos!CD12,0),
                          " - ")</f>
        <v xml:space="preserve"> - </v>
      </c>
      <c r="AB12" s="549"/>
      <c r="AC12" s="549"/>
      <c r="AD12" s="563"/>
      <c r="AE12" s="563">
        <f>IF(ISNUMBER(Datos!R12),Datos!R12," - ")</f>
        <v>6348</v>
      </c>
      <c r="AF12" s="693" t="str">
        <f>IF(ISNUMBER(Datos!BV12),Datos!BV12," - ")</f>
        <v xml:space="preserve"> - </v>
      </c>
      <c r="AG12" s="552" t="str">
        <f>IF(ISNUMBER(Datos!DV12),Datos!DV12," - ")</f>
        <v xml:space="preserve"> - </v>
      </c>
      <c r="AH12" s="553"/>
      <c r="AI12" s="554"/>
      <c r="AJ12" s="552">
        <f>IF(ISNUMBER(Datos!M12),Datos!M12," - ")</f>
        <v>1206</v>
      </c>
      <c r="AK12" s="693">
        <f>IF(ISNUMBER(Datos!N12),Datos!N12," - ")</f>
        <v>5514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4.9573643410852712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4.6833773087071241E-2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48</v>
      </c>
      <c r="G14" s="1197">
        <f>SUBTOTAL(9,G8:G13)</f>
        <v>63</v>
      </c>
      <c r="H14" s="1211"/>
      <c r="I14" s="1197">
        <f t="shared" ref="I14:N14" si="1">SUBTOTAL(9,I8:I13)</f>
        <v>0</v>
      </c>
      <c r="J14" s="1164">
        <f t="shared" si="1"/>
        <v>0</v>
      </c>
      <c r="K14" s="1211">
        <f t="shared" si="1"/>
        <v>0</v>
      </c>
      <c r="L14" s="1211">
        <f t="shared" si="1"/>
        <v>0</v>
      </c>
      <c r="M14" s="1211">
        <f t="shared" si="1"/>
        <v>0</v>
      </c>
      <c r="N14" s="1211">
        <f t="shared" si="1"/>
        <v>1388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126</v>
      </c>
      <c r="Z14" s="1210">
        <f t="shared" si="3"/>
        <v>1106</v>
      </c>
      <c r="AA14" s="1199">
        <f t="shared" si="3"/>
        <v>48</v>
      </c>
      <c r="AB14" s="1199">
        <f t="shared" si="3"/>
        <v>0</v>
      </c>
      <c r="AC14" s="1199">
        <f t="shared" si="3"/>
        <v>0</v>
      </c>
      <c r="AD14" s="1199">
        <f t="shared" si="3"/>
        <v>0</v>
      </c>
      <c r="AE14" s="1199">
        <f t="shared" si="3"/>
        <v>6402</v>
      </c>
      <c r="AF14" s="1211">
        <f t="shared" si="3"/>
        <v>0</v>
      </c>
      <c r="AG14" s="1211">
        <f t="shared" si="3"/>
        <v>0</v>
      </c>
      <c r="AH14" s="1211">
        <f t="shared" si="3"/>
        <v>0</v>
      </c>
      <c r="AI14" s="1211">
        <f t="shared" si="3"/>
        <v>0</v>
      </c>
      <c r="AJ14" s="1211">
        <f t="shared" si="3"/>
        <v>1254</v>
      </c>
      <c r="AK14" s="1211">
        <f t="shared" si="3"/>
        <v>5570</v>
      </c>
      <c r="AL14" s="1211">
        <f t="shared" si="3"/>
        <v>0</v>
      </c>
      <c r="AM14" s="1211">
        <f t="shared" si="3"/>
        <v>0</v>
      </c>
      <c r="AN14" s="1211">
        <f t="shared" si="3"/>
        <v>0</v>
      </c>
      <c r="AO14" s="1203">
        <f>IF(ISNUMBER(((NºAsuntos!I14/NºAsuntos!G14)*11)/factor_trimestre),((NºAsuntos!I14/NºAsuntos!G14)*11)/factor_trimestre," - ")</f>
        <v>4.9461805555555554</v>
      </c>
      <c r="AP14" s="1213" t="str">
        <f>IF(ISNUMBER(Datos!CI14/Datos!CJ14),Datos!CI14/Datos!CJ14," - ")</f>
        <v xml:space="preserve"> - </v>
      </c>
      <c r="AQ14" s="1236">
        <f t="shared" ref="AQ14:AV14" si="4">SUBTOTAL(9,AQ9:AQ13)</f>
        <v>0</v>
      </c>
      <c r="AR14" s="1236">
        <f t="shared" si="4"/>
        <v>1.1119487372785529E-2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510</v>
      </c>
      <c r="C17" s="765" t="str">
        <f>Datos!A17</f>
        <v xml:space="preserve">Jdos. 1ª Instª. e Instr.                        </v>
      </c>
      <c r="D17" s="593"/>
      <c r="E17" s="1558">
        <f>IF(ISNUMBER(Datos!AQ17),Datos!AQ17," - ")</f>
        <v>8</v>
      </c>
      <c r="F17" s="543">
        <f>IF(ISNUMBER(AA17+Y17-Datos!J17-K16),AA17+Y17-Datos!J17-K16," - ")</f>
        <v>1340</v>
      </c>
      <c r="G17" s="552">
        <f>IF(ISNUMBER(IF(D_I="SI",Datos!I17,Datos!I17+Datos!AC17)),IF(D_I="SI",Datos!I17,Datos!I17+Datos!AC17)," - ")</f>
        <v>1172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8679</v>
      </c>
      <c r="Z17" s="805">
        <f>IF(ISNUMBER(Datos!Q17),Datos!Q17," - ")</f>
        <v>333</v>
      </c>
      <c r="AA17" s="551">
        <f>IF(ISNUMBER(IF(D_I="SI",Datos!L17,Datos!L17+Datos!AF17)),IF(D_I="SI",Datos!L17,Datos!L17+Datos!AF17)," - ")</f>
        <v>1541</v>
      </c>
      <c r="AB17" s="549"/>
      <c r="AC17" s="549"/>
      <c r="AD17" s="563"/>
      <c r="AE17" s="563">
        <f>IF(ISNUMBER(Datos!R17),Datos!R17," - ")</f>
        <v>311</v>
      </c>
      <c r="AF17" s="693" t="str">
        <f>IF(ISNUMBER(Datos!BV17),Datos!BV17," - ")</f>
        <v xml:space="preserve"> - </v>
      </c>
      <c r="AG17" s="552"/>
      <c r="AH17" s="553"/>
      <c r="AI17" s="554"/>
      <c r="AJ17" s="552">
        <f>IF(ISNUMBER(Datos!M17),Datos!M17," - ")</f>
        <v>778</v>
      </c>
      <c r="AK17" s="693">
        <f>IF(ISNUMBER(Datos!N17),Datos!N17," - ")</f>
        <v>6172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1.9531051964512041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1004</v>
      </c>
      <c r="Z18" s="805">
        <f>IF(ISNUMBER(Datos!Q18),Datos!Q18," - ")</f>
        <v>11</v>
      </c>
      <c r="AA18" s="551">
        <f>IF(ISNUMBER(Datos!L18),Datos!L18,"-")</f>
        <v>92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80</v>
      </c>
      <c r="AK18" s="693">
        <f>IF(ISNUMBER(Datos!N18),Datos!N18," - ")</f>
        <v>505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1.0079681274900398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5</v>
      </c>
      <c r="B21" s="746" t="s">
        <v>510</v>
      </c>
      <c r="C21" s="747" t="str">
        <f>Datos!A21</f>
        <v xml:space="preserve">Jdos. de lo Penal                               </v>
      </c>
      <c r="D21" s="601"/>
      <c r="E21" s="1558">
        <f>IF(ISNUMBER(Datos!AQ21),Datos!AQ21," - ")</f>
        <v>5</v>
      </c>
      <c r="F21" s="552">
        <f>IF(ISNUMBER(Datos!L21+Datos!K21-Datos!J21),Datos!L21+Datos!K21-Datos!J21," - ")</f>
        <v>1997</v>
      </c>
      <c r="G21" s="552">
        <f>IF(ISNUMBER(Datos!I21),Datos!I21," - ")</f>
        <v>1610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2458</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2004</v>
      </c>
      <c r="Z21" s="805">
        <f>IF(ISNUMBER(Datos!Q21),Datos!Q21," - ")</f>
        <v>3026</v>
      </c>
      <c r="AA21" s="551">
        <f>IF(ISNUMBER(Datos!L21),Datos!L21,"-")</f>
        <v>1890</v>
      </c>
      <c r="AB21" s="549"/>
      <c r="AC21" s="549"/>
      <c r="AD21" s="563"/>
      <c r="AE21" s="563">
        <f>IF(ISNUMBER(Datos!R21),Datos!R21," - ")</f>
        <v>3087</v>
      </c>
      <c r="AF21" s="693" t="str">
        <f>IF(ISNUMBER(Datos!BV21),Datos!BV21," - ")</f>
        <v xml:space="preserve"> - </v>
      </c>
      <c r="AG21" s="552"/>
      <c r="AH21" s="553"/>
      <c r="AI21" s="554"/>
      <c r="AJ21" s="552">
        <f>IF(ISNUMBER(Datos!M21),Datos!M21," - ")</f>
        <v>1816</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10.374251497005989</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14</v>
      </c>
      <c r="F23" s="1197">
        <f>SUBTOTAL(9,F16:F22)</f>
        <v>3337</v>
      </c>
      <c r="G23" s="1197">
        <f>SUBTOTAL(9,G16:G22)</f>
        <v>2856</v>
      </c>
      <c r="H23" s="1240">
        <f>SUBTOTAL(9,H16:H22)</f>
        <v>0</v>
      </c>
      <c r="I23" s="1217">
        <f>SUBTOTAL(9,I16:I22)</f>
        <v>0</v>
      </c>
      <c r="J23" s="1164">
        <f>SUBTOTAL(9,J15:J22)</f>
        <v>0</v>
      </c>
      <c r="K23" s="1240">
        <f t="shared" ref="K23:S23" si="5">SUBTOTAL(9,K16:K22)</f>
        <v>0</v>
      </c>
      <c r="L23" s="1240">
        <f t="shared" si="5"/>
        <v>0</v>
      </c>
      <c r="M23" s="1240">
        <f t="shared" si="5"/>
        <v>0</v>
      </c>
      <c r="N23" s="1240">
        <f t="shared" si="5"/>
        <v>2824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11687</v>
      </c>
      <c r="Z23" s="1240">
        <f t="shared" si="6"/>
        <v>3370</v>
      </c>
      <c r="AA23" s="1240">
        <f t="shared" si="6"/>
        <v>3523</v>
      </c>
      <c r="AB23" s="1240">
        <f t="shared" si="6"/>
        <v>0</v>
      </c>
      <c r="AC23" s="1240">
        <f t="shared" si="6"/>
        <v>0</v>
      </c>
      <c r="AD23" s="1240">
        <f t="shared" si="6"/>
        <v>0</v>
      </c>
      <c r="AE23" s="1240">
        <f t="shared" si="6"/>
        <v>3401</v>
      </c>
      <c r="AF23" s="1240">
        <f t="shared" si="6"/>
        <v>0</v>
      </c>
      <c r="AG23" s="1240">
        <f t="shared" si="6"/>
        <v>0</v>
      </c>
      <c r="AH23" s="1240">
        <f t="shared" si="6"/>
        <v>0</v>
      </c>
      <c r="AI23" s="1240">
        <f t="shared" si="6"/>
        <v>0</v>
      </c>
      <c r="AJ23" s="1240">
        <f t="shared" si="6"/>
        <v>2674</v>
      </c>
      <c r="AK23" s="1240">
        <f t="shared" si="6"/>
        <v>6677</v>
      </c>
      <c r="AL23" s="1240">
        <f t="shared" si="6"/>
        <v>0</v>
      </c>
      <c r="AM23" s="1240">
        <f t="shared" si="6"/>
        <v>0</v>
      </c>
      <c r="AN23" s="1240">
        <f t="shared" si="6"/>
        <v>0</v>
      </c>
      <c r="AO23" s="1242">
        <f>IF(ISNUMBER(((NºAsuntos!I23/NºAsuntos!G23)*11)/factor_trimestre),((NºAsuntos!I23/NºAsuntos!G23)*11)/factor_trimestre," - ")</f>
        <v>3.3159065628476085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23</v>
      </c>
      <c r="F31" s="1117">
        <f t="shared" si="12"/>
        <v>3385</v>
      </c>
      <c r="G31" s="1117">
        <f t="shared" si="12"/>
        <v>2919</v>
      </c>
      <c r="H31" s="1118">
        <f t="shared" si="12"/>
        <v>0</v>
      </c>
      <c r="I31" s="1117">
        <f t="shared" si="12"/>
        <v>0</v>
      </c>
      <c r="J31" s="1119">
        <f t="shared" si="12"/>
        <v>0</v>
      </c>
      <c r="K31" s="1117">
        <f t="shared" si="12"/>
        <v>0</v>
      </c>
      <c r="L31" s="1120">
        <f t="shared" si="12"/>
        <v>0</v>
      </c>
      <c r="M31" s="1117">
        <f t="shared" si="12"/>
        <v>0</v>
      </c>
      <c r="N31" s="1118">
        <f t="shared" si="12"/>
        <v>4212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11813</v>
      </c>
      <c r="Z31" s="1124">
        <f t="shared" si="13"/>
        <v>4476</v>
      </c>
      <c r="AA31" s="1125">
        <f t="shared" si="13"/>
        <v>3571</v>
      </c>
      <c r="AB31" s="1125">
        <f t="shared" si="13"/>
        <v>0</v>
      </c>
      <c r="AC31" s="1125">
        <f t="shared" si="13"/>
        <v>0</v>
      </c>
      <c r="AD31" s="1126">
        <f t="shared" si="13"/>
        <v>0</v>
      </c>
      <c r="AE31" s="1126">
        <f t="shared" si="13"/>
        <v>9803</v>
      </c>
      <c r="AF31" s="1127">
        <f t="shared" si="13"/>
        <v>0</v>
      </c>
      <c r="AG31" s="1128">
        <f t="shared" si="13"/>
        <v>0</v>
      </c>
      <c r="AH31" s="1129">
        <f t="shared" si="13"/>
        <v>0</v>
      </c>
      <c r="AI31" s="1127">
        <f t="shared" si="13"/>
        <v>0</v>
      </c>
      <c r="AJ31" s="1117">
        <f t="shared" si="13"/>
        <v>3928</v>
      </c>
      <c r="AK31" s="1117">
        <f t="shared" si="13"/>
        <v>12247</v>
      </c>
      <c r="AL31" s="1117">
        <f t="shared" si="13"/>
        <v>0</v>
      </c>
      <c r="AM31" s="1130">
        <f t="shared" si="13"/>
        <v>0</v>
      </c>
      <c r="AN31" s="1120">
        <f>IF(ISNUMBER(Datos!K31/Datos!J31),Datos!K31/Datos!J31," - ")</f>
        <v>0.97539920159680638</v>
      </c>
      <c r="AO31" s="1120">
        <f>IF(ISNUMBER(FIND("06",Criterios!A8,1)),(IF(ISNUMBER(((Datos!R31/Datos!Q31)*11)/factor_trimestre),((Datos!R31/Datos!Q31)*11)/factor_trimestre," - ")),(IF(ISNUMBER(((Datos!L31/Datos!K31)*11)/factor_trimestre),((Datos!L31/Datos!K31)*11)/factor_trimestre," - ")))</f>
        <v>4.0382667416994931</v>
      </c>
      <c r="AP31" s="1131" t="str">
        <f>IF(ISNUMBER(Datos!CI31/Datos!CJ31),Datos!CI31/Datos!CJ31," - ")</f>
        <v xml:space="preserve"> - </v>
      </c>
      <c r="AQ31" s="1131">
        <f>IF(OR(ISNUMBER(FIND("01",Criterios!A8,1)),ISNUMBER(FIND("02",Criterios!A8,1)),ISNUMBER(FIND("03",Criterios!A8,1)),ISNUMBER(FIND("04",Criterios!A8,1))),(J31-Y31+K31)/(F31-K31),(I31-Y31+K31)/(F31-K31))</f>
        <v>-3.4898079763663219</v>
      </c>
      <c r="AR31" s="1131">
        <f>IF(ISNUMBER((Datos!P31-Datos!Q31+O31)/(Datos!R31-Datos!P31+Datos!Q31-O31)),(Datos!P31-Datos!Q31+O31)/(Datos!R31-Datos!P31+Datos!Q31-O31)," - ")</f>
        <v>-2.6224297208701699E-2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729.75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1315.0556931896369</v>
      </c>
      <c r="G33" s="674">
        <f>IF(ISNUMBER(STDEV(G8:G30)),STDEV(G8:G30),"-")</f>
        <v>1060.6974457537697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950.76659128889833</v>
      </c>
      <c r="AK33" s="276"/>
      <c r="AL33" s="276">
        <f>IF(ISNUMBER(STDEV(AL8:AL30)),STDEV(AL8:AL30),"-")</f>
        <v>0</v>
      </c>
      <c r="AM33" s="278">
        <f>IF(ISNUMBER(STDEV(AM8:AM30)),STDEV(AM8:AM30),"-")</f>
        <v>0</v>
      </c>
      <c r="AN33" s="660">
        <f>IF(ISNUMBER(STDEV(AN8:AN30)),STDEV(AN8:AN30),"-")</f>
        <v>0</v>
      </c>
      <c r="AO33" s="661">
        <f>IF(ISNUMBER(STDEV(AO8:AO30)),STDEV(AO8:AO30),"-")</f>
        <v>3.0279958769205599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zBTyfIg40a7a8IIlH5vKSyDN3NrB5NgYGWbLRFy2cfEPb6+rNAZECyeQQU/638Hbcw0LN8xzGsWFfTPfJGt55w==" saltValue="FkWtLT9+IYCKnL5rXr0n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BzlPWrRfbR4vX/e89GmlZoeh9ZOuG8WQDzsFt0sNDWbNBPaPjNpMTrBS+aPF8gBDtoOxjvkg/Lzlpkpt1Taw4w==" saltValue="nypcI2emOe1Wt6hxroWy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He8md5e9wIqgEBtSYxkfLOshlUCwd1Slxs/YhctMT8FBcYsxBV1TQsfHkqCLICuZ7GGY3kK6aoGKScfKFSVA==" saltValue="zazt6PJ9P9HxMdPNIqlc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GETAFE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0.1451388888888889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0.1026286925472142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2aNZ6FonrY0bKxqJxcxT2uvMsZgL3L4gteoTwWFGq/NMsAkwPCkFwg77pc3B58r9YGmK7NXDKoQ9Ff8EBQkSA==" saltValue="VM6cHSTT1eqD6hgdq3AE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2ee1tQj/f+6jeIMMD6DCtTycxWOuhV3XeuZ1veEIbDbd357FB/IbLHGBz0auNqLQkpSGst+nTF2IHxcExiQkuA==" saltValue="1RdutXNGASoDPqHoE4Tj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GETAFE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63</v>
      </c>
      <c r="D10" s="452">
        <f>IF(ISNUMBER(C10/Datos!BH10),C10/Datos!BH10," - ")</f>
        <v>63</v>
      </c>
      <c r="E10" s="451">
        <f>IF(ISNUMBER(Datos!J10),Datos!J10," - ")</f>
        <v>126</v>
      </c>
      <c r="F10" s="452">
        <f>IF(ISNUMBER(E10/B10),E10/B10," - ")</f>
        <v>126</v>
      </c>
      <c r="G10" s="451">
        <f>IF(ISNUMBER(Datos!K10),Datos!K10," - ")</f>
        <v>126</v>
      </c>
      <c r="H10" s="452">
        <f>IF(ISNUMBER(G10/B10),G10/B10," - ")</f>
        <v>126</v>
      </c>
      <c r="I10" s="451">
        <f>IF(ISNUMBER(Datos!L10),Datos!L10," - ")</f>
        <v>48</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3418</v>
      </c>
      <c r="D12" s="452">
        <f>IF(ISNUMBER(C12/Datos!BH12),C12/Datos!BH12," - ")</f>
        <v>427.25</v>
      </c>
      <c r="E12" s="451">
        <f>IF(ISNUMBER(IF(J_V="SI",Datos!J12,Datos!J12+Datos!Z12)),IF(J_V="SI",Datos!J12,Datos!J12+Datos!Z12)," - ")</f>
        <v>8906</v>
      </c>
      <c r="F12" s="452">
        <f>IF(ISNUMBER(E12/B12),E12/B12," - ")</f>
        <v>1113.25</v>
      </c>
      <c r="G12" s="451">
        <f>IF(ISNUMBER(IF(J_V="SI",Datos!K12,Datos!K12+Datos!AA12)),IF(J_V="SI",Datos!K12,Datos!K12+Datos!AA12)," - ")</f>
        <v>8514</v>
      </c>
      <c r="H12" s="452">
        <f>IF(ISNUMBER(G12/B12),G12/B12," - ")</f>
        <v>1064.25</v>
      </c>
      <c r="I12" s="451">
        <f>IF(ISNUMBER(IF(J_V="SI",Datos!L12,Datos!L12+Datos!AB12)),IF(J_V="SI",Datos!L12,Datos!L12+Datos!AB12)," - ")</f>
        <v>3837</v>
      </c>
      <c r="J12" s="452">
        <f>IF(ISNUMBER(I12/B12),I12/B12," - ")</f>
        <v>479.625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3481</v>
      </c>
      <c r="D14" s="1147" t="str">
        <f>IF(ISNUMBER(C14/Datos!BI14),C14/Datos!BI14," - ")</f>
        <v xml:space="preserve"> - </v>
      </c>
      <c r="E14" s="1146">
        <f>SUBTOTAL(9,E8:E13)</f>
        <v>9032</v>
      </c>
      <c r="F14" s="1147">
        <f>IF(ISNUMBER(E14/B14),E14/B14," - ")</f>
        <v>1003.5555555555555</v>
      </c>
      <c r="G14" s="1146">
        <f>SUBTOTAL(9,G8:G13)</f>
        <v>8640</v>
      </c>
      <c r="H14" s="1147">
        <f>IF(ISNUMBER(G14/B14),G14/B14," - ")</f>
        <v>960</v>
      </c>
      <c r="I14" s="1146">
        <f>SUBTOTAL(9,I8:I13)</f>
        <v>3885</v>
      </c>
      <c r="J14" s="1147">
        <f>IF(ISNUMBER(I14/B14),I14/B14," - ")</f>
        <v>431.66666666666669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1172</v>
      </c>
      <c r="D17" s="452">
        <f>IF(ISNUMBER(C17/Datos!BH17),C17/Datos!BH17," - ")</f>
        <v>146.5</v>
      </c>
      <c r="E17" s="451">
        <f>IF(ISNUMBER(IF(D_I="SI",Datos!J17,Datos!J17+Datos!AD17)),IF(D_I="SI",Datos!J17,Datos!J17+Datos!AD17)," - ")</f>
        <v>8880</v>
      </c>
      <c r="F17" s="452">
        <f>IF(ISNUMBER(E17/B17),E17/B17," - ")</f>
        <v>1110</v>
      </c>
      <c r="G17" s="451">
        <f>IF(ISNUMBER(IF(D_I="SI",Datos!K17,Datos!K17+Datos!AE17)),IF(D_I="SI",Datos!K17,Datos!K17+Datos!AE17)," - ")</f>
        <v>8679</v>
      </c>
      <c r="H17" s="452">
        <f>IF(ISNUMBER(G17/B17),G17/B17," - ")</f>
        <v>1084.875</v>
      </c>
      <c r="I17" s="451">
        <f>IF(ISNUMBER(IF(D_I="SI",Datos!L17,Datos!L17+Datos!AF17)),IF(D_I="SI",Datos!L17,Datos!L17+Datos!AF17)," - ")</f>
        <v>1541</v>
      </c>
      <c r="J17" s="452">
        <f>IF(ISNUMBER(I17/B17),I17/B17," - ")</f>
        <v>192.625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1017</v>
      </c>
      <c r="F18" s="452">
        <f>IF(ISNUMBER(E18/B18),E18/B18," - ")</f>
        <v>1017</v>
      </c>
      <c r="G18" s="451">
        <f>IF(ISNUMBER(IF(D_I="SI",Datos!K18,Datos!K18+Datos!AE18)),IF(D_I="SI",Datos!K18,Datos!K18+Datos!AE18)," - ")</f>
        <v>1004</v>
      </c>
      <c r="H18" s="452">
        <f>IF(ISNUMBER(G18/B18),G18/B18," - ")</f>
        <v>1004</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5</v>
      </c>
      <c r="C21" s="451">
        <f>IF(ISNUMBER(Datos!I21),Datos!I21," - ")</f>
        <v>1610</v>
      </c>
      <c r="D21" s="452">
        <f>IF(ISNUMBER(C21/Datos!BH21),C21/Datos!BH21," - ")</f>
        <v>322</v>
      </c>
      <c r="E21" s="451">
        <f>IF(ISNUMBER(Datos!J21),Datos!J21," - ")</f>
        <v>1897</v>
      </c>
      <c r="F21" s="452">
        <f>IF(ISNUMBER(E21/B21),E21/B21," - ")</f>
        <v>379.4</v>
      </c>
      <c r="G21" s="451">
        <f>IF(ISNUMBER(Datos!K21),Datos!K21," - ")</f>
        <v>2004</v>
      </c>
      <c r="H21" s="452">
        <f>IF(ISNUMBER(G21/B21),G21/B21," - ")</f>
        <v>400.8</v>
      </c>
      <c r="I21" s="451">
        <f>IF(ISNUMBER(Datos!L21),Datos!L21," - ")</f>
        <v>1890</v>
      </c>
      <c r="J21" s="452">
        <f>IF(ISNUMBER(I21/B21),I21/B21," - ")</f>
        <v>378</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2856</v>
      </c>
      <c r="D23" s="1147" t="str">
        <f>IF(ISNUMBER(C23/Datos!BI23),C23/Datos!BI23," - ")</f>
        <v xml:space="preserve"> - </v>
      </c>
      <c r="E23" s="1146">
        <f>SUBTOTAL(9,E15:E22)</f>
        <v>11794</v>
      </c>
      <c r="F23" s="1147">
        <f>IF(ISNUMBER(E23/B23),E23/B23," - ")</f>
        <v>842.42857142857144</v>
      </c>
      <c r="G23" s="1146">
        <f>SUBTOTAL(9,G15:G22)</f>
        <v>11687</v>
      </c>
      <c r="H23" s="1147">
        <f>IF(ISNUMBER(G23/B23),G23/B23," - ")</f>
        <v>834.78571428571433</v>
      </c>
      <c r="I23" s="1146">
        <f>SUBTOTAL(9,I15:I22)</f>
        <v>3523</v>
      </c>
      <c r="J23" s="1147">
        <f>IF(ISNUMBER(I23/B23),I23/B23," - ")</f>
        <v>251.64285714285714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6337</v>
      </c>
      <c r="D31" s="1085" t="str">
        <f>IF(ISNUMBER(C31/Datos!BI31),C31/Datos!BI31," - ")</f>
        <v xml:space="preserve"> - </v>
      </c>
      <c r="E31" s="1084">
        <f>SUBTOTAL(9,E9:E30)</f>
        <v>20826</v>
      </c>
      <c r="F31" s="1085">
        <f>IF(ISNUMBER(E31/B31),E31/B31," - ")</f>
        <v>1487.5714285714287</v>
      </c>
      <c r="G31" s="1084">
        <f>SUBTOTAL(9,G9:G30)</f>
        <v>20327</v>
      </c>
      <c r="H31" s="1085">
        <f>IF(ISNUMBER(G31/B31),G31/B31," - ")</f>
        <v>1451.9285714285713</v>
      </c>
      <c r="I31" s="1084">
        <f>SUBTOTAL(9,I9:I30)</f>
        <v>7408</v>
      </c>
      <c r="J31" s="1085">
        <f>IF(ISNUMBER(I31/B31),I31/B31," - ")</f>
        <v>529.14285714285711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evV/gQrEBaDMkJRfv38yTpc/YnAhLxhXJiCHNRrtCDgK8WfavUUkHqUVybEHb2pQeqSEXWso6PjKceqWogs3ug==" saltValue="y3//UaKM3ZsO434SvcNU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GETAFE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1</v>
      </c>
      <c r="F10" s="905">
        <f>IF(ISNUMBER(Datos!L10+Datos!K10-Datos!J10),Datos!L10+Datos!K10-Datos!J10," - ")</f>
        <v>48</v>
      </c>
      <c r="G10" s="906">
        <f>IF(ISNUMBER(Datos!I10),Datos!I10," - ")</f>
        <v>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126</v>
      </c>
      <c r="AC10" s="905" t="str">
        <f>IF(ISNUMBER(IF(D_I="SI",DatosP!K18,DatosP!K18+DatosP!AE18)),IF(D_I="SI",DatosP!K18,DatosP!K18+DatosP!AE18)," - ")</f>
        <v xml:space="preserve"> - </v>
      </c>
      <c r="AD10" s="907"/>
      <c r="AE10" s="907"/>
      <c r="AF10" s="910">
        <f>IF(ISNUMBER(Datos!L10),Datos!L10,"-")</f>
        <v>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48</v>
      </c>
      <c r="AM10" s="914">
        <f>IF(ISNUMBER(Datos!N10+DatosP!N18),Datos!N10+DatosP!N18," - ")</f>
        <v>56</v>
      </c>
      <c r="AN10" s="914">
        <f>IF(ISNUMBER(Datos!BW10+DatosP!BW18),Datos!BW10+DatosP!BW18," - ")</f>
        <v>0</v>
      </c>
      <c r="AO10" s="915">
        <f>IF(ISNUMBER(Datos!BX10+DatosP!BX18),Datos!BX10+DatosP!BX18," - ")</f>
        <v>0</v>
      </c>
      <c r="AP10" s="917">
        <f>IF(ISNUMBER(((Datos!L10/Datos!K10)*11)/factor_trimestre),((Datos!L10/Datos!K10)*11)/factor_trimestre," - ")</f>
        <v>4.1904761904761898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320</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1206</v>
      </c>
      <c r="AM12" s="914">
        <f>IF(ISNUMBER(Datos!N12+DatosP!N17),Datos!N12+DatosP!N17," - ")</f>
        <v>5514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4.9573643410852712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4.6833773087071241E-2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48</v>
      </c>
      <c r="G14" s="1256">
        <f t="shared" si="0"/>
        <v>63</v>
      </c>
      <c r="H14" s="1256">
        <f t="shared" si="0"/>
        <v>0</v>
      </c>
      <c r="I14" s="1258">
        <f t="shared" si="0"/>
        <v>0</v>
      </c>
      <c r="J14" s="1257">
        <f t="shared" si="0"/>
        <v>0</v>
      </c>
      <c r="K14" s="1257">
        <f t="shared" si="0"/>
        <v>0</v>
      </c>
      <c r="L14" s="1259">
        <f t="shared" si="0"/>
        <v>0</v>
      </c>
      <c r="M14" s="1259">
        <f t="shared" si="0"/>
        <v>0</v>
      </c>
      <c r="N14" s="1257">
        <f t="shared" si="0"/>
        <v>1388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126</v>
      </c>
      <c r="AC14" s="1257">
        <f t="shared" si="1"/>
        <v>0</v>
      </c>
      <c r="AD14" s="1257">
        <f t="shared" si="1"/>
        <v>1080</v>
      </c>
      <c r="AE14" s="1257">
        <f t="shared" si="1"/>
        <v>0</v>
      </c>
      <c r="AF14" s="1257">
        <f t="shared" si="1"/>
        <v>48</v>
      </c>
      <c r="AG14" s="1257">
        <f t="shared" si="1"/>
        <v>0</v>
      </c>
      <c r="AH14" s="1257">
        <f t="shared" si="1"/>
        <v>6348</v>
      </c>
      <c r="AI14" s="1257">
        <f t="shared" si="1"/>
        <v>0</v>
      </c>
      <c r="AJ14" s="1257">
        <f t="shared" si="1"/>
        <v>0</v>
      </c>
      <c r="AK14" s="1257">
        <f t="shared" si="1"/>
        <v>0</v>
      </c>
      <c r="AL14" s="1257">
        <f t="shared" si="1"/>
        <v>1254</v>
      </c>
      <c r="AM14" s="1257">
        <f t="shared" si="1"/>
        <v>5570</v>
      </c>
      <c r="AN14" s="1257">
        <f t="shared" si="1"/>
        <v>0</v>
      </c>
      <c r="AO14" s="1257">
        <f t="shared" si="1"/>
        <v>0</v>
      </c>
      <c r="AP14" s="1262">
        <f>IF(ISNUMBER(((Datos!L14/Datos!K14)*11)/factor_trimestre),((Datos!L14/Datos!K14)*11)/factor_trimestre," - ")</f>
        <v>5.1123409669211197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-2.625</v>
      </c>
      <c r="AU14" s="1257" t="str">
        <f>IF(ISNUMBER((DatosP!#REF!-DatosP!#REF!+DatosP!#REF!)/(DatosP!#REF!+DatosP!#REF!-DatosP!#REF!-DatosP!#REF!)),(DatosP!#REF!-DatosP!#REF!+DatosP!#REF!)/(DatosP!#REF!+DatosP!#REF!-DatosP!#REF!-DatosP!#REF!)," - ")</f>
        <v xml:space="preserve"> - </v>
      </c>
      <c r="AV14" s="1263">
        <f>SUBTOTAL(9,AV9:AV13)</f>
        <v>4.6833773087071241E-2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5</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3.3159065628476085</v>
      </c>
      <c r="AQ23" s="1262">
        <f>IF(ISNUMBER(((Datos!M23/Datos!L23)*11)/factor_trimestre),((Datos!M23/Datos!L23)*11)/factor_trimestre," - ")</f>
        <v>8.3491342605733756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-0.13833291107170004</v>
      </c>
      <c r="AW23" s="1265">
        <f>IF(ISNUMBER((Datos!Q23-Datos!R23)/(Datos!S23-Datos!Q23+Datos!R23)),(Datos!Q23-Datos!R23)/(Datos!S23-Datos!Q23+Datos!R23)," - ")</f>
        <v>-1.1447562776957163E-2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48</v>
      </c>
      <c r="G31" s="1278">
        <f t="shared" si="8"/>
        <v>63</v>
      </c>
      <c r="H31" s="1278">
        <f t="shared" si="8"/>
        <v>0</v>
      </c>
      <c r="I31" s="1279">
        <f t="shared" si="8"/>
        <v>0</v>
      </c>
      <c r="J31" s="1280">
        <f t="shared" si="8"/>
        <v>0</v>
      </c>
      <c r="K31" s="1280">
        <f t="shared" si="8"/>
        <v>0</v>
      </c>
      <c r="L31" s="1280">
        <f t="shared" si="8"/>
        <v>0</v>
      </c>
      <c r="M31" s="1280">
        <f t="shared" si="8"/>
        <v>0</v>
      </c>
      <c r="N31" s="1279">
        <f t="shared" si="8"/>
        <v>1388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126</v>
      </c>
      <c r="AC31" s="1284">
        <f t="shared" si="9"/>
        <v>0</v>
      </c>
      <c r="AD31" s="1284">
        <f t="shared" si="9"/>
        <v>1080</v>
      </c>
      <c r="AE31" s="1284">
        <f t="shared" si="9"/>
        <v>0</v>
      </c>
      <c r="AF31" s="1285">
        <f t="shared" si="9"/>
        <v>48</v>
      </c>
      <c r="AG31" s="1285">
        <f t="shared" si="9"/>
        <v>0</v>
      </c>
      <c r="AH31" s="1285">
        <f t="shared" si="9"/>
        <v>6348</v>
      </c>
      <c r="AI31" s="1285">
        <f t="shared" si="9"/>
        <v>0</v>
      </c>
      <c r="AJ31" s="1286">
        <f t="shared" si="9"/>
        <v>0</v>
      </c>
      <c r="AK31" s="1286">
        <f t="shared" si="9"/>
        <v>0</v>
      </c>
      <c r="AL31" s="1278">
        <f t="shared" si="9"/>
        <v>1254</v>
      </c>
      <c r="AM31" s="1278">
        <f t="shared" si="9"/>
        <v>5570</v>
      </c>
      <c r="AN31" s="1278">
        <f t="shared" si="9"/>
        <v>0</v>
      </c>
      <c r="AO31" s="1278">
        <f t="shared" si="9"/>
        <v>0</v>
      </c>
      <c r="AP31" s="1278">
        <f>IF(ISNUMBER(((Datos!L31/Datos!K31)*11)/factor_trimestre),((Datos!L31/Datos!K31)*11)/factor_trimestre," - ")</f>
        <v>4.0382667416994931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-2.6224297208701699E-2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3.7080992435478315</v>
      </c>
      <c r="F33" s="1006">
        <f>IF(ISNUMBER(STDEV(F8:F30)),STDEV(F8:F30),"-")</f>
        <v>26.290682760247975</v>
      </c>
      <c r="G33" s="1007">
        <f>IF(ISNUMBER(STDEV(G8:G30)),STDEV(G8:G30),"-")</f>
        <v>34.506521122825468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69.013042245650936</v>
      </c>
      <c r="AC33" s="1008">
        <f>IF(ISNUMBER(STDEV(AC8:AC30)),STDEV(AC8:AC30),"-")</f>
        <v>0</v>
      </c>
      <c r="AD33" s="1011"/>
      <c r="AE33" s="1011"/>
      <c r="AF33" s="1011"/>
      <c r="AG33" s="1011"/>
      <c r="AH33" s="1011"/>
      <c r="AI33" s="1011"/>
      <c r="AJ33" s="1012">
        <f>IF(ISNUMBER(STDEV(AJ8:AJ30)),STDEV(AJ8:AJ30),"-")</f>
        <v>0</v>
      </c>
      <c r="AK33" s="1014"/>
      <c r="AL33" s="1006">
        <f>IF(ISNUMBER(STDEV(AL8:AL30)),STDEV(AL8:AL30),"-")</f>
        <v>629.43021853101402</v>
      </c>
      <c r="AM33" s="1006"/>
      <c r="AN33" s="1006">
        <f>IF(ISNUMBER(STDEV(AN8:AN30)),STDEV(AN8:AN30),"-")</f>
        <v>0</v>
      </c>
      <c r="AO33" s="1012">
        <f>IF(ISNUMBER(STDEV(AO8:AO30)),STDEV(AO8:AO30),"-")</f>
        <v>0</v>
      </c>
      <c r="AP33" s="1065">
        <f>IF(ISNUMBER(STDEV(AP8:AP30)),STDEV(AP8:AP30),"-")</f>
        <v>0.82403489487178394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ywBa9uQPzdIPlwS5OH3dTmtPgXp2rw750sU4Px0TAOmKSK5BQmHGQqnVCCTx8/3V9SzCqwxXlDlhSmhzWqgI4A==" saltValue="Xt3aZy8e01er36sTboMx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GETAFE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5</v>
      </c>
      <c r="D21" s="451">
        <f>Datos!BK21</f>
        <v>0</v>
      </c>
      <c r="E21" s="451">
        <f>Datos!AQ21</f>
        <v>5</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sW+nwzfv12KBwzR9qJg1qmLL//GTMdYJTgKumV4IIGhkDqL8sOU/JwWYR6g7NP2beDaK2M+vBOT499h2B2hQ0Q==" saltValue="biISkTX/KBacQkKGl8/S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GETAFE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48</v>
      </c>
      <c r="E10" s="452">
        <f>IF(ISNUMBER(D10/B10),D10/B10," - ")</f>
        <v>48</v>
      </c>
      <c r="F10" s="451">
        <f>IF(ISNUMBER(Datos!N10),Datos!N10," - ")</f>
        <v>56</v>
      </c>
      <c r="G10" s="452">
        <f>IF(ISNUMBER(F10/B10),F10/B10," - ")</f>
        <v>56</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1206</v>
      </c>
      <c r="E12" s="452">
        <f t="shared" si="0"/>
        <v>150.75</v>
      </c>
      <c r="F12" s="451">
        <f>IF(ISNUMBER(Datos!N12),Datos!N12," - ")</f>
        <v>5514</v>
      </c>
      <c r="G12" s="452">
        <f t="shared" si="1"/>
        <v>689.25</v>
      </c>
      <c r="H12" s="451">
        <f>IF(ISNUMBER(Datos!O12),Datos!O12," - ")</f>
        <v>2289</v>
      </c>
      <c r="I12" s="452">
        <f t="shared" si="2"/>
        <v>286.125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1254</v>
      </c>
      <c r="E14" s="1147">
        <f t="shared" si="0"/>
        <v>139.33333333333334</v>
      </c>
      <c r="F14" s="1146">
        <f>SUBTOTAL(9,F9:F13)</f>
        <v>5570</v>
      </c>
      <c r="G14" s="1147">
        <f t="shared" si="1"/>
        <v>618.88888888888891</v>
      </c>
      <c r="H14" s="1146">
        <f>SUBTOTAL(9,H9:H13)</f>
        <v>2308</v>
      </c>
      <c r="I14" s="1147">
        <f>IF(ISNUMBER(H14/B14),H14/B14," - ")</f>
        <v>256.44444444444446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778</v>
      </c>
      <c r="E17" s="452">
        <f t="shared" si="3"/>
        <v>97.25</v>
      </c>
      <c r="F17" s="451">
        <f>IF(ISNUMBER(Datos!N17),Datos!N17," - ")</f>
        <v>6172</v>
      </c>
      <c r="G17" s="452">
        <f t="shared" si="4"/>
        <v>771.5</v>
      </c>
      <c r="H17" s="451">
        <f>IF(ISNUMBER(Datos!O17),Datos!O17," - ")</f>
        <v>70</v>
      </c>
      <c r="I17" s="452">
        <f t="shared" si="5"/>
        <v>8.75</v>
      </c>
    </row>
    <row r="18" spans="1:9">
      <c r="A18" s="450" t="str">
        <f>Datos!A18</f>
        <v>Jdos. Violencia contra la mujer</v>
      </c>
      <c r="B18" s="480">
        <f>Datos!AO18</f>
        <v>1</v>
      </c>
      <c r="C18" s="481">
        <f>Datos!AQ18</f>
        <v>1</v>
      </c>
      <c r="D18" s="451">
        <f>IF(ISNUMBER(Datos!M18),Datos!M18," - ")</f>
        <v>80</v>
      </c>
      <c r="E18" s="452">
        <f>IF(ISNUMBER(D18/B18),D18/B18," - ")</f>
        <v>80</v>
      </c>
      <c r="F18" s="451">
        <f>IF(ISNUMBER(Datos!N18),Datos!N18," - ")</f>
        <v>505</v>
      </c>
      <c r="G18" s="452">
        <f>IF(ISNUMBER(F18/B18),F18/B18," - ")</f>
        <v>505</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5</v>
      </c>
      <c r="C21" s="481">
        <f>Datos!AQ21</f>
        <v>5</v>
      </c>
      <c r="D21" s="451">
        <f>IF(ISNUMBER(Datos!M21),Datos!M21," - ")</f>
        <v>1816</v>
      </c>
      <c r="E21" s="452">
        <f t="shared" si="3"/>
        <v>363.2</v>
      </c>
      <c r="F21" s="451">
        <f>IF(ISNUMBER(Datos!N21),Datos!N21," - ")</f>
        <v>806</v>
      </c>
      <c r="G21" s="452">
        <f t="shared" si="4"/>
        <v>161.19999999999999</v>
      </c>
      <c r="H21" s="451">
        <f>IF(ISNUMBER(Datos!O21),Datos!O21," - ")</f>
        <v>1341</v>
      </c>
      <c r="I21" s="452">
        <f t="shared" si="5"/>
        <v>268.2</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2674</v>
      </c>
      <c r="E23" s="1147">
        <f t="shared" si="3"/>
        <v>191</v>
      </c>
      <c r="F23" s="1146">
        <f>SUBTOTAL(9,F16:F22)</f>
        <v>7483</v>
      </c>
      <c r="G23" s="1147">
        <f t="shared" si="4"/>
        <v>534.5</v>
      </c>
      <c r="H23" s="1146">
        <f>SUBTOTAL(9,H16:H22)</f>
        <v>1415</v>
      </c>
      <c r="I23" s="1147">
        <f>IF(ISNUMBER(H23/B23),H23/B23," - ")</f>
        <v>101.07142857142857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3928</v>
      </c>
      <c r="E31" s="1085">
        <f>IF(ISNUMBER(D31/B31),D31/B31," - ")</f>
        <v>280.57142857142856</v>
      </c>
      <c r="F31" s="1084">
        <f>SUBTOTAL(9,F8:F30)</f>
        <v>13053</v>
      </c>
      <c r="G31" s="1085">
        <f>IF(ISNUMBER(F31/B31),F31/B31," - ")</f>
        <v>932.35714285714289</v>
      </c>
      <c r="H31" s="1084">
        <f>SUBTOTAL(9,H8:H30)</f>
        <v>3723</v>
      </c>
      <c r="I31" s="1085">
        <f>IF(ISNUMBER(H31/B31),H31/B31," - ")</f>
        <v>265.92857142857144</v>
      </c>
    </row>
    <row r="34" spans="1:1">
      <c r="A34" s="439" t="str">
        <f>Criterios!A4</f>
        <v>Fecha Informe: 15 abr. 2023</v>
      </c>
    </row>
    <row r="39" spans="1:1">
      <c r="A39" s="462"/>
    </row>
  </sheetData>
  <sheetProtection algorithmName="SHA-512" hashValue="F9F8OJnADhAZkbx0HiqnZPQMcUe80gdpV7SyT9jHXneAwNoti57VF6rA5vLM9nz3A1YnmOVgghqMyM0rWSW3Vg==" saltValue="hmyOi3XtWiMd6oksFVFE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GETAFE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24</v>
      </c>
      <c r="C10" s="489">
        <f>IF(ISNUMBER(Datos!Q10),Datos!Q10," - ")</f>
        <v>26</v>
      </c>
      <c r="D10" s="456">
        <f>IF(ISNUMBER(Datos!R10),Datos!R10," - ")</f>
        <v>54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1364</v>
      </c>
      <c r="C12" s="489">
        <f>IF(ISNUMBER(Datos!Q12),Datos!Q12," - ")</f>
        <v>1080</v>
      </c>
      <c r="D12" s="456">
        <f>IF(ISNUMBER(Datos!R12),Datos!R12," - ")</f>
        <v>6348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1388</v>
      </c>
      <c r="C14" s="1150">
        <f>SUBTOTAL(9,C9:C13)</f>
        <v>1106</v>
      </c>
      <c r="D14" s="1148">
        <f>SUBTOTAL(9,D9:D13)</f>
        <v>6402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355</v>
      </c>
      <c r="C17" s="489">
        <f>IF(ISNUMBER(Datos!Q17),Datos!Q17," - ")</f>
        <v>333</v>
      </c>
      <c r="D17" s="456">
        <f>IF(ISNUMBER(Datos!R17),Datos!R17," - ")</f>
        <v>311</v>
      </c>
    </row>
    <row r="18" spans="1:4">
      <c r="A18" s="450" t="str">
        <f>Datos!A18</f>
        <v>Jdos. Violencia contra la mujer</v>
      </c>
      <c r="B18" s="488">
        <f>IF(ISNUMBER(Datos!P18),Datos!P18," - ")</f>
        <v>11</v>
      </c>
      <c r="C18" s="489">
        <f>IF(ISNUMBER(Datos!Q18),Datos!Q18," - ")</f>
        <v>11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2458</v>
      </c>
      <c r="C21" s="489">
        <f>IF(ISNUMBER(Datos!Q21),Datos!Q21," - ")</f>
        <v>3026</v>
      </c>
      <c r="D21" s="456">
        <f>IF(ISNUMBER(Datos!R21),Datos!R21," - ")</f>
        <v>3087</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2824</v>
      </c>
      <c r="C23" s="1150">
        <f>SUBTOTAL(9,C16:C22)</f>
        <v>3370</v>
      </c>
      <c r="D23" s="1148">
        <f>SUBTOTAL(9,D16:D22)</f>
        <v>3401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4212</v>
      </c>
      <c r="C31" s="1089">
        <f>SUBTOTAL(9,C8:C30)</f>
        <v>4476</v>
      </c>
      <c r="D31" s="1090">
        <f>SUBTOTAL(9,D8:D30)</f>
        <v>9803</v>
      </c>
    </row>
    <row r="32" spans="1:4" ht="7.5" customHeight="1"/>
    <row r="33" spans="1:1" ht="6" customHeight="1"/>
    <row r="34" spans="1:1">
      <c r="A34" s="439" t="str">
        <f>Criterios!A4</f>
        <v>Fecha Informe: 15 abr. 2023</v>
      </c>
    </row>
    <row r="39" spans="1:1">
      <c r="A39" s="462"/>
    </row>
  </sheetData>
  <sheetProtection algorithmName="SHA-512" hashValue="15q6/4Hp38Pc4Aqg4I4vh5yoFNRKF79NsYI84FMJH8UQ6RyiUsRsRbNB47MRXzXwYbgJtWk+f6NTeMWxqfeKCQ==" saltValue="Df1eT5EemDx6HudpX70t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GETAFE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4.1322314049586778E-2</v>
      </c>
      <c r="D10" s="515">
        <f>IF(ISNUMBER((Datos!K10-Datos!U10)/Datos!U10),(Datos!K10-Datos!U10)/Datos!U10," - ")</f>
        <v>0.3125</v>
      </c>
      <c r="E10" s="515">
        <f>IF(ISNUMBER((Datos!L10-Datos!V10)/Datos!V10),(Datos!L10-Datos!V10)/Datos!V10," - ")</f>
        <v>-0.23809523809523808</v>
      </c>
      <c r="F10" s="515">
        <f>IF(ISNUMBER((Datos!M10-Datos!W10)/Datos!W10),(Datos!M10-Datos!W10)/Datos!W10," - ")</f>
        <v>0.45454545454545453</v>
      </c>
      <c r="G10" s="516">
        <f>IF(ISNUMBER((Datos!N10-Datos!X10)/Datos!X10),(Datos!N10-Datos!X10)/Datos!X10," - ")</f>
        <v>0.27272727272727271</v>
      </c>
      <c r="H10" s="514">
        <f>IF(ISNUMBER(((NºAsuntos!G10/NºAsuntos!E10)-Datos!BD10)/Datos!BD10),((NºAsuntos!G10/NºAsuntos!E10)-Datos!BD10)/Datos!BD10," - ")</f>
        <v>0.26041666666666663</v>
      </c>
      <c r="I10" s="515">
        <f>IF(ISNUMBER(((NºAsuntos!I10/NºAsuntos!G10)-Datos!BE10)/Datos!BE10),((NºAsuntos!I10/NºAsuntos!G10)-Datos!BE10)/Datos!BE10," - ")</f>
        <v>-0.41950113378684811</v>
      </c>
      <c r="J10" s="521">
        <f>IF(ISNUMBER((('Resol  Asuntos'!D10/NºAsuntos!G10)-Datos!BF10)/Datos!BF10),(('Resol  Asuntos'!D10/NºAsuntos!G10)-Datos!BF10)/Datos!BF10," - ")</f>
        <v>0.10822510822510817</v>
      </c>
      <c r="K10" s="522">
        <f>IF(ISNUMBER((((NºAsuntos!C10+NºAsuntos!E10)/NºAsuntos!G10)-Datos!BG10)/Datos!BG10),(((NºAsuntos!C10+NºAsuntos!E10)/NºAsuntos!G10)-Datos!BG10)/Datos!BG10," - ")</f>
        <v>-7.6923076923076927E-2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8.9228808158062459E-2</v>
      </c>
      <c r="C12" s="515">
        <f>IF(ISNUMBER(
   IF(J_V="SI",(Datos!J12-Datos!T12)/Datos!T12,(Datos!J12+Datos!Z12-(Datos!T12+Datos!AH12))/(Datos!T12+Datos!AH12))
     ),IF(J_V="SI",(Datos!J12-Datos!T12)/Datos!T12,(Datos!J12+Datos!Z12-(Datos!T12+Datos!AH12))/(Datos!T12+Datos!AH12))," - ")</f>
        <v>0.13567967355266514</v>
      </c>
      <c r="D12" s="515">
        <f>IF(ISNUMBER(
   IF(J_V="SI",(Datos!K12-Datos!U12)/Datos!U12,(Datos!K12+Datos!AA12-(Datos!U12+Datos!AI12))/(Datos!U12+Datos!AI12))
     ),IF(J_V="SI",(Datos!K12-Datos!U12)/Datos!U12,(Datos!K12+Datos!AA12-(Datos!U12+Datos!AI12))/(Datos!U12+Datos!AI12))," - ")</f>
        <v>0.11221423905943828</v>
      </c>
      <c r="E12" s="515">
        <f>IF(ISNUMBER(
   IF(J_V="SI",(Datos!L12-Datos!V12)/Datos!V12,(Datos!L12+Datos!AB12-(Datos!V12+Datos!AJ12))/(Datos!V12+Datos!AJ12))
     ),IF(J_V="SI",(Datos!L12-Datos!V12)/Datos!V12,(Datos!L12+Datos!AB12-(Datos!V12+Datos!AJ12))/(Datos!V12+Datos!AJ12))," - ")</f>
        <v>0.12258630778232885</v>
      </c>
      <c r="F12" s="515">
        <f>IF(ISNUMBER((Datos!M12-Datos!W12)/Datos!W12),(Datos!M12-Datos!W12)/Datos!W12," - ")</f>
        <v>5.7894736842105263E-2</v>
      </c>
      <c r="G12" s="516">
        <f>IF(ISNUMBER((Datos!N12-Datos!X12)/Datos!X12),(Datos!N12-Datos!X12)/Datos!X12," - ")</f>
        <v>0.11079774375503626</v>
      </c>
      <c r="H12" s="514">
        <f>IF(ISNUMBER(((NºAsuntos!G12/NºAsuntos!E12)-Datos!BD12)/Datos!BD12),((NºAsuntos!G12/NºAsuntos!E12)-Datos!BD12)/Datos!BD12," - ")</f>
        <v>-2.0662018560059031E-2</v>
      </c>
      <c r="I12" s="515">
        <f>IF(ISNUMBER(((NºAsuntos!I12/NºAsuntos!G12)-Datos!BE12)/Datos!BE12),((NºAsuntos!I12/NºAsuntos!G12)-Datos!BE12)/Datos!BE12," - ")</f>
        <v>9.3256032503789832E-3</v>
      </c>
      <c r="J12" s="521">
        <f>IF(ISNUMBER((('Resol  Asuntos'!D12/NºAsuntos!G12)-Datos!BF12)/Datos!BF12),(('Resol  Asuntos'!D12/NºAsuntos!G12)-Datos!BF12)/Datos!BF12," - ")</f>
        <v>-0.78156255696405252</v>
      </c>
      <c r="K12" s="522">
        <f>IF(ISNUMBER((((NºAsuntos!C12+NºAsuntos!E12)/NºAsuntos!G12)-Datos!BG12)/Datos!BG12),(((NºAsuntos!C12+NºAsuntos!E12)/NºAsuntos!G12)-Datos!BG12)/Datos!BG12," - ")</f>
        <v>9.1620230773872303E-3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9.7069019855026792E-2</v>
      </c>
      <c r="C14" s="1152">
        <f>IF(ISNUMBER(
   IF(J_V="SI",(Datos!J14-Datos!T14)/Datos!T14,(Datos!J14+Datos!Z14-(Datos!T14+Datos!AH14))/(Datos!T14+Datos!AH14))
     ),IF(J_V="SI",(Datos!J14-Datos!T14)/Datos!T14,(Datos!J14+Datos!Z14-(Datos!T14+Datos!AH14))/(Datos!T14+Datos!AH14))," - ")</f>
        <v>0.1342458872284315</v>
      </c>
      <c r="D14" s="1152">
        <f>IF(ISNUMBER(
   IF(J_V="SI",(Datos!K14-Datos!U14)/Datos!U14,(Datos!K14+Datos!AA14-(Datos!U14+Datos!AI14))/(Datos!U14+Datos!AI14))
     ),IF(J_V="SI",(Datos!K14-Datos!U14)/Datos!U14,(Datos!K14+Datos!AA14-(Datos!U14+Datos!AI14))/(Datos!U14+Datos!AI14))," - ")</f>
        <v>0.11469487808024771</v>
      </c>
      <c r="E14" s="1152">
        <f>IF(ISNUMBER(
   IF(J_V="SI",(Datos!L14-Datos!V14)/Datos!V14,(Datos!L14+Datos!AB14-(Datos!V14+Datos!AJ14))/(Datos!V14+Datos!AJ14))
     ),IF(J_V="SI",(Datos!L14-Datos!V14)/Datos!V14,(Datos!L14+Datos!AB14-(Datos!V14+Datos!AJ14))/(Datos!V14+Datos!AJ14))," - ")</f>
        <v>0.11605860384946855</v>
      </c>
      <c r="F14" s="1153">
        <f>IF(ISNUMBER((Datos!M14-Datos!W14)/Datos!W14),(Datos!M14-Datos!W14)/Datos!W14," - ")</f>
        <v>6.9053708439897693E-2</v>
      </c>
      <c r="G14" s="1154">
        <f>IF(ISNUMBER((Datos!N14-Datos!X14)/Datos!X14),(Datos!N14-Datos!X14)/Datos!X14," - ")</f>
        <v>0.11222044728434505</v>
      </c>
      <c r="H14" s="1154">
        <f>IF(ISNUMBER(((NºAsuntos!G14/NºAsuntos!E14)-Datos!BD14)/Datos!BD14),((NºAsuntos!G14/NºAsuntos!E14)-Datos!BD14)/Datos!BD14," - ")</f>
        <v>-1.7237011276238601E-2</v>
      </c>
      <c r="I14" s="1154">
        <f>IF(ISNUMBER(((NºAsuntos!I14/NºAsuntos!G14)-Datos!BE14)/Datos!BE14),((NºAsuntos!I14/NºAsuntos!G14)-Datos!BE14)/Datos!BE14," - ")</f>
        <v>1.2234072265313678E-3</v>
      </c>
      <c r="J14" s="1154">
        <f>IF(ISNUMBER((('Resol  Asuntos'!D14/NºAsuntos!G14)-Datos!BF14)/Datos!BF14),(('Resol  Asuntos'!D14/NºAsuntos!G14)-Datos!BF14)/Datos!BF14," - ")</f>
        <v>-0.77487061681453306</v>
      </c>
      <c r="K14" s="1154">
        <f>IF(ISNUMBER((((NºAsuntos!C14+NºAsuntos!E14)/NºAsuntos!G14)-Datos!BG14)/Datos!BG14),(((NºAsuntos!C14+NºAsuntos!E14)/NºAsuntos!G14)-Datos!BG14)/Datos!BG14," - ")</f>
        <v>8.0364047034641589E-3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0.16616915422885573</v>
      </c>
      <c r="C17" s="515">
        <f>IF(ISNUMBER(
   IF(D_I="SI",(Datos!J17-Datos!T17)/Datos!T17,(Datos!J17+Datos!AD17-(Datos!T17+Datos!AL17))/(Datos!T17+Datos!AL17))
     ),IF(D_I="SI",(Datos!J17-Datos!T17)/Datos!T17,(Datos!J17+Datos!AD17-(Datos!T17+Datos!AL17))/(Datos!T17+Datos!AL17))," - ")</f>
        <v>0.1667323610563658</v>
      </c>
      <c r="D17" s="515">
        <f>IF(ISNUMBER(
   IF(D_I="SI",(Datos!K17-Datos!U17)/Datos!U17,(Datos!K17+Datos!AE17-(Datos!U17+Datos!AM17))/(Datos!U17+Datos!AM17))
     ),IF(D_I="SI",(Datos!K17-Datos!U17)/Datos!U17,(Datos!K17+Datos!AE17-(Datos!U17+Datos!AM17))/(Datos!U17+Datos!AM17))," - ")</f>
        <v>0.13480648535564854</v>
      </c>
      <c r="E17" s="515">
        <f>IF(ISNUMBER(
   IF(D_I="SI",(Datos!L17-Datos!V17)/Datos!V17,(Datos!L17+Datos!AF17-(Datos!V17+Datos!AN17))/(Datos!V17+Datos!AN17))
     ),IF(D_I="SI",(Datos!L17-Datos!V17)/Datos!V17,(Datos!L17+Datos!AF17-(Datos!V17+Datos!AN17))/(Datos!V17+Datos!AN17))," - ")</f>
        <v>0.31484641638225258</v>
      </c>
      <c r="F17" s="515">
        <f>IF(ISNUMBER((Datos!M17-Datos!W17)/Datos!W17),(Datos!M17-Datos!W17)/Datos!W17," - ")</f>
        <v>-0.18704284221525602</v>
      </c>
      <c r="G17" s="516">
        <f>IF(ISNUMBER((Datos!N17-Datos!X17)/Datos!X17),(Datos!N17-Datos!X17)/Datos!X17," - ")</f>
        <v>0.23316683316683318</v>
      </c>
      <c r="H17" s="514">
        <f>IF(ISNUMBER(((NºAsuntos!G17/NºAsuntos!E17)-Datos!BD17)/Datos!BD17),((NºAsuntos!G17/NºAsuntos!E17)-Datos!BD17)/Datos!BD17," - ")</f>
        <v>-2.7363495490783627E-2</v>
      </c>
      <c r="I17" s="515">
        <f>IF(ISNUMBER(((NºAsuntos!I17/NºAsuntos!G17)-Datos!BE17)/Datos!BE17),((NºAsuntos!I17/NºAsuntos!G17)-Datos!BE17)/Datos!BE17," - ")</f>
        <v>0.15865253975014021</v>
      </c>
      <c r="J17" s="521">
        <f>IF(ISNUMBER((('Resol  Asuntos'!D17/NºAsuntos!G17)-Datos!BF17)/Datos!BF17),(('Resol  Asuntos'!D17/NºAsuntos!G17)-Datos!BF17)/Datos!BF17," - ")</f>
        <v>-0.28361604531193435</v>
      </c>
      <c r="K17" s="522">
        <f>IF(ISNUMBER((((NºAsuntos!C17+NºAsuntos!E17)/NºAsuntos!G17)-Datos!BG17)/Datos!BG17),(((NºAsuntos!C17+NºAsuntos!E17)/NºAsuntos!G17)-Datos!BG17)/Datos!BG17," - ")</f>
        <v>2.8075431117256296E-2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0.27586206896551724</v>
      </c>
      <c r="C18" s="515">
        <f>IF(ISNUMBER(
   IF(D_I="SI",(Datos!J18-Datos!T18)/Datos!T18,(Datos!J18+Datos!AD18-(Datos!T18+Datos!AL18))/(Datos!T18+Datos!AL18))
     ),IF(D_I="SI",(Datos!J18-Datos!T18)/Datos!T18,(Datos!J18+Datos!AD18-(Datos!T18+Datos!AL18))/(Datos!T18+Datos!AL18))," - ")</f>
        <v>3.5641547861507125E-2</v>
      </c>
      <c r="D18" s="515">
        <f>IF(ISNUMBER(
   IF(D_I="SI",(Datos!K18-Datos!U18)/Datos!U18,(Datos!K18+Datos!AE18-(Datos!U18+Datos!AM18))/(Datos!U18+Datos!AM18))
     ),IF(D_I="SI",(Datos!K18-Datos!U18)/Datos!U18,(Datos!K18+Datos!AE18-(Datos!U18+Datos!AM18))/(Datos!U18+Datos!AM18))," - ")</f>
        <v>2.9743589743589743E-2</v>
      </c>
      <c r="E18" s="515">
        <f>IF(ISNUMBER(
   IF(D_I="SI",(Datos!L18-Datos!V18)/Datos!V18,(Datos!L18+Datos!AF18-(Datos!V18+Datos!AN18))/(Datos!V18+Datos!AN18))
     ),IF(D_I="SI",(Datos!L18-Datos!V18)/Datos!V18,(Datos!L18+Datos!AF18-(Datos!V18+Datos!AN18))/(Datos!V18+Datos!AN18))," - ")</f>
        <v>0.24324324324324326</v>
      </c>
      <c r="F18" s="515">
        <f>IF(ISNUMBER((Datos!M18-Datos!W18)/Datos!W18),(Datos!M18-Datos!W18)/Datos!W18," - ")</f>
        <v>0.26984126984126983</v>
      </c>
      <c r="G18" s="516">
        <f>IF(ISNUMBER((Datos!N18-Datos!X18)/Datos!X18),(Datos!N18-Datos!X18)/Datos!X18," - ")</f>
        <v>2.6422764227642278E-2</v>
      </c>
      <c r="H18" s="514">
        <f>IF(ISNUMBER(((NºAsuntos!G18/NºAsuntos!E18)-Datos!BD18)/Datos!BD18),((NºAsuntos!G18/NºAsuntos!E18)-Datos!BD18)/Datos!BD18," - ")</f>
        <v>-5.6949802082546302E-3</v>
      </c>
      <c r="I18" s="515">
        <f>IF(ISNUMBER(((NºAsuntos!I18/NºAsuntos!G18)-Datos!BE18)/Datos!BE18),((NºAsuntos!I18/NºAsuntos!G18)-Datos!BE18)/Datos!BE18," - ")</f>
        <v>0.20733283083880688</v>
      </c>
      <c r="J18" s="521">
        <f>IF(ISNUMBER((('Resol  Asuntos'!D18/NºAsuntos!G18)-Datos!BF18)/Datos!BF18),(('Resol  Asuntos'!D18/NºAsuntos!G18)-Datos!BF18)/Datos!BF18," - ")</f>
        <v>0.23316258774426102</v>
      </c>
      <c r="K18" s="522">
        <f>IF(ISNUMBER((((NºAsuntos!C18+NºAsuntos!E18)/NºAsuntos!G18)-Datos!BG18)/Datos!BG18),(((NºAsuntos!C18+NºAsuntos!E18)/NºAsuntos!G18)-Datos!BG18)/Datos!BG18," - ")</f>
        <v>1.8737549800796754E-2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-2.4783147459727386E-3</v>
      </c>
      <c r="C21" s="515">
        <f>IF(ISNUMBER((Datos!J21-Datos!T21)/Datos!T21),(Datos!J21-Datos!T21)/Datos!T21," - ")</f>
        <v>-5.2687038988408848E-4</v>
      </c>
      <c r="D21" s="515">
        <f>IF(ISNUMBER((Datos!K21-Datos!U21)/Datos!U21),(Datos!K21-Datos!U21)/Datos!U21," - ")</f>
        <v>-2.8599127484246242E-2</v>
      </c>
      <c r="E21" s="515">
        <f>IF(ISNUMBER((Datos!L21-Datos!V21)/Datos!V21),(Datos!L21-Datos!V21)/Datos!V21," - ")</f>
        <v>0.17391304347826086</v>
      </c>
      <c r="F21" s="515">
        <f>IF(ISNUMBER((Datos!M21-Datos!W21)/Datos!W21),(Datos!M21-Datos!W21)/Datos!W21," - ")</f>
        <v>8.4826762246117085E-2</v>
      </c>
      <c r="G21" s="516">
        <f>IF(ISNUMBER((Datos!N21-Datos!X21)/Datos!X21),(Datos!N21-Datos!X21)/Datos!X21," - ")</f>
        <v>-0.20118929633300298</v>
      </c>
      <c r="H21" s="514">
        <f>IF(ISNUMBER(((NºAsuntos!G21/NºAsuntos!E21)-Datos!BD21)/Datos!BD21),((NºAsuntos!G21/NºAsuntos!E21)-Datos!BD21)/Datos!BD21," - ")</f>
        <v>-2.8087055332155622E-2</v>
      </c>
      <c r="I21" s="515">
        <f>IF(ISNUMBER(((NºAsuntos!I21/NºAsuntos!G21)-Datos!BE21)/Datos!BE21),((NºAsuntos!I21/NºAsuntos!G21)-Datos!BE21)/Datos!BE21," - ")</f>
        <v>0.20847435563655309</v>
      </c>
      <c r="J21" s="521">
        <f>IF(ISNUMBER((('Resol  Asuntos'!D21/NºAsuntos!G21)-Datos!BF21)/Datos!BF21),(('Resol  Asuntos'!D21/NºAsuntos!G21)-Datos!BF21)/Datos!BF21," - ")</f>
        <v>0.11676527470745478</v>
      </c>
      <c r="K21" s="522">
        <f>IF(ISNUMBER((((NºAsuntos!C21+NºAsuntos!E21)/NºAsuntos!G21)-Datos!BG21)/Datos!BG21),(((NºAsuntos!C21+NºAsuntos!E21)/NºAsuntos!G21)-Datos!BG21)/Datos!BG21," - ")</f>
        <v>2.7975512528473852E-2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6.6865894658199476E-2</v>
      </c>
      <c r="C23" s="1152">
        <f>IF(ISNUMBER(
   IF(Criterios!B14="SI",(Datos!J23-Datos!T23)/Datos!T23,(Datos!J23+Datos!AD23-(Datos!T23+Datos!AL23))/(Datos!T23+Datos!AL23))
     ),IF(Criterios!B14="SI",(Datos!J23-Datos!T23)/Datos!T23,(Datos!J23+Datos!AD23-(Datos!T23+Datos!AL23))/(Datos!T23+Datos!AL23))," - ")</f>
        <v>0.12420169669240301</v>
      </c>
      <c r="D23" s="1152">
        <f>IF(ISNUMBER(
   IF(Criterios!B14="SI",(Datos!K23-Datos!U23)/Datos!U23,(Datos!K23+Datos!AE23-(Datos!U23+Datos!AM23))/(Datos!U23+Datos!AM23))
     ),IF(Criterios!B14="SI",(Datos!K23-Datos!U23)/Datos!U23,(Datos!K23+Datos!AE23-(Datos!U23+Datos!AM23))/(Datos!U23+Datos!AM23))," - ")</f>
        <v>9.3673965936739656E-2</v>
      </c>
      <c r="E23" s="1152">
        <f>IF(ISNUMBER(
   IF(Criterios!B14="SI",(Datos!L23-Datos!V23)/Datos!V23,(Datos!L23+Datos!AF23-(Datos!V23+Datos!AN23))/(Datos!V23+Datos!AN23))
     ),IF(Criterios!B14="SI",(Datos!L23-Datos!V23)/Datos!V23,(Datos!L23+Datos!AF23-(Datos!V23+Datos!AN23))/(Datos!V23+Datos!AN23))," - ")</f>
        <v>0.23354341736694678</v>
      </c>
      <c r="F23" s="1153">
        <f>IF(ISNUMBER((Datos!M23-Datos!W23)/Datos!W23),(Datos!M23-Datos!W23)/Datos!W23," - ")</f>
        <v>-7.4239049740163323E-3</v>
      </c>
      <c r="G23" s="1154">
        <f>IF(ISNUMBER((Datos!N23-Datos!X23)/Datos!X23),(Datos!N23-Datos!X23)/Datos!X23," - ")</f>
        <v>0.15016907470027666</v>
      </c>
      <c r="H23" s="1154">
        <f>IF(ISNUMBER(((NºAsuntos!G23/NºAsuntos!E23)-Datos!BD23)/Datos!BD23),((NºAsuntos!G23/NºAsuntos!E23)-Datos!BD23)/Datos!BD23," - ")</f>
        <v>-2.7155029960798993E-2</v>
      </c>
      <c r="I23" s="1154">
        <f>IF(ISNUMBER(((NºAsuntos!I23/NºAsuntos!G23)-Datos!BE23)/Datos!BE23),((NºAsuntos!I23/NºAsuntos!G23)-Datos!BE23)/Datos!BE23," - ")</f>
        <v>0.127889531786018</v>
      </c>
      <c r="J23" s="1154">
        <f>IF(ISNUMBER((('Resol  Asuntos'!D23/NºAsuntos!G23)-Datos!BF23)/Datos!BF23),(('Resol  Asuntos'!D23/NºAsuntos!G23)-Datos!BF23)/Datos!BF23," - ")</f>
        <v>-9.2438765170902604E-2</v>
      </c>
      <c r="K23" s="1154">
        <f>IF(ISNUMBER((((NºAsuntos!C23+NºAsuntos!E23)/NºAsuntos!G23)-Datos!BG23)/Datos!BG23),(((NºAsuntos!C23+NºAsuntos!E23)/NºAsuntos!G23)-Datos!BG23)/Datos!BG23," - ")</f>
        <v>1.7255232964398143E-2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8.3247863247863249E-2</v>
      </c>
      <c r="C31" s="1092">
        <f>IF(ISNUMBER(
   IF(J_V="SI",(Datos!J31-Datos!T31)/Datos!T31,(Datos!J31+Datos!Z31-(Datos!T31+Datos!AH31))/(Datos!T31+Datos!AH31))
     ),IF(J_V="SI",(Datos!J31-Datos!T31)/Datos!T31,(Datos!J31+Datos!Z31-(Datos!T31+Datos!AH31))/(Datos!T31+Datos!AH31))," - ")</f>
        <v>0.12853581879267367</v>
      </c>
      <c r="D31" s="1092">
        <f>IF(ISNUMBER(
   IF(J_V="SI",(Datos!K31-Datos!U31)/Datos!U31,(Datos!K31+Datos!AA31-(Datos!U31+Datos!AI31))/(Datos!U31+Datos!AI31))
     ),IF(J_V="SI",(Datos!K31-Datos!U31)/Datos!U31,(Datos!K31+Datos!AA31-(Datos!U31+Datos!AI31))/(Datos!U31+Datos!AI31))," - ")</f>
        <v>0.10251125454249607</v>
      </c>
      <c r="E31" s="1092">
        <f>IF(ISNUMBER(
   IF(J_V="SI",(Datos!L31-Datos!V31)/Datos!V31,(Datos!L31+Datos!AB31-(Datos!V31+Datos!AJ31))/(Datos!V31+Datos!AJ31))
     ),IF(J_V="SI",(Datos!L31-Datos!V31)/Datos!V31,(Datos!L31+Datos!AB31-(Datos!V31+Datos!AJ31))/(Datos!V31+Datos!AJ31))," - ")</f>
        <v>0.16900741675871864</v>
      </c>
      <c r="F31" s="1093">
        <f>IF(ISNUMBER((Datos!M31-Datos!W31)/Datos!W31),(Datos!M31-Datos!W31)/Datos!W31," - ")</f>
        <v>1.5774502198086373E-2</v>
      </c>
      <c r="G31" s="1094">
        <f>IF(ISNUMBER((Datos!N31-Datos!X31)/Datos!X31),(Datos!N31-Datos!X31)/Datos!X31," - ")</f>
        <v>0.13366336633663367</v>
      </c>
      <c r="H31" s="1095">
        <f>IF(ISNUMBER((Tasas!B31-Datos!BD31)/Datos!BD31),(Tasas!B31-Datos!BD31)/Datos!BD31," - ")</f>
        <v>-2.3060468101064879E-2</v>
      </c>
      <c r="I31" s="1096">
        <f>IF(ISNUMBER((Tasas!C31-Datos!BE31)/Datos!BE31),(Tasas!C31-Datos!BE31)/Datos!BE31," - ")</f>
        <v>6.0313363643454264E-2</v>
      </c>
      <c r="J31" s="1097">
        <f>IF(ISNUMBER((Tasas!D31-Datos!BF31)/Datos!BF31),(Tasas!D31-Datos!BF31)/Datos!BF31," - ")</f>
        <v>-0.53676044443470183</v>
      </c>
      <c r="K31" s="1097">
        <f>IF(ISNUMBER((Tasas!E31-Datos!BG31)/Datos!BG31),(Tasas!E31-Datos!BG31)/Datos!BG31," - ")</f>
        <v>1.3717504110622154E-2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ItJgVqra2XWsbV8NP9+Q2KpE+SNm5HBq1WvRCMK3yuyoOCwy9SBaB7h3g1b21kjCbtD3DLWYQwVrwW1zIzusQ==" saltValue="38rTehZGHaW7nt5s7SvW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GETAFE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0.38095238095238093</v>
      </c>
      <c r="D10" s="499">
        <f>IF(ISNUMBER('Resol  Asuntos'!D10/NºAsuntos!G10),'Resol  Asuntos'!D10/NºAsuntos!G10," - ")</f>
        <v>0.38095238095238093</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0.95598472939591284</v>
      </c>
      <c r="C12" s="498">
        <f>IF(ISNUMBER(NºAsuntos!I12/NºAsuntos!G12),NºAsuntos!I12/NºAsuntos!G12," - ")</f>
        <v>0.45066948555320646</v>
      </c>
      <c r="D12" s="499">
        <f>IF(ISNUMBER('Resol  Asuntos'!D12/NºAsuntos!G12),'Resol  Asuntos'!D12/NºAsuntos!G12," - ")</f>
        <v>0.14164904862579281</v>
      </c>
      <c r="E12" s="500">
        <f>IF(ISNUMBER((NºAsuntos!C12+NºAsuntos!E12)/NºAsuntos!G12),(NºAsuntos!C12+NºAsuntos!E12)/NºAsuntos!G12," - ")</f>
        <v>1.4474982381959127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0.95659875996457044</v>
      </c>
      <c r="C14" s="1156">
        <f>IF(ISNUMBER(NºAsuntos!I14/NºAsuntos!G14),NºAsuntos!I14/NºAsuntos!G14," - ")</f>
        <v>0.44965277777777779</v>
      </c>
      <c r="D14" s="1157">
        <f>IF(ISNUMBER('Resol  Asuntos'!D14/NºAsuntos!G14),'Resol  Asuntos'!D14/NºAsuntos!G14," - ")</f>
        <v>0.1451388888888889</v>
      </c>
      <c r="E14" s="1158">
        <f>IF(ISNUMBER((NºAsuntos!C14+NºAsuntos!E14)/NºAsuntos!G14),(NºAsuntos!C14+NºAsuntos!E14)/NºAsuntos!G14," - ")</f>
        <v>1.4482638888888888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0.97736486486486485</v>
      </c>
      <c r="C17" s="498">
        <f>IF(ISNUMBER(NºAsuntos!I17/NºAsuntos!G17),NºAsuntos!I17/NºAsuntos!G17," - ")</f>
        <v>0.17755501785920036</v>
      </c>
      <c r="D17" s="499">
        <f>IF(ISNUMBER('Resol  Asuntos'!D17/NºAsuntos!G17),'Resol  Asuntos'!D17/NºAsuntos!G17," - ")</f>
        <v>8.9641663786150474E-2</v>
      </c>
      <c r="E17" s="500">
        <f>IF(ISNUMBER((NºAsuntos!C17+NºAsuntos!E17)/NºAsuntos!G17),(NºAsuntos!C17+NºAsuntos!E17)/NºAsuntos!G17," - ")</f>
        <v>1.1581979490724739</v>
      </c>
      <c r="G17" s="523"/>
    </row>
    <row r="18" spans="1:7">
      <c r="A18" s="450" t="str">
        <f>Datos!A18</f>
        <v>Jdos. Violencia contra la mujer</v>
      </c>
      <c r="B18" s="497">
        <f>IF(ISNUMBER(NºAsuntos!G18/NºAsuntos!E18),NºAsuntos!G18/NºAsuntos!E18," - ")</f>
        <v>0.98721730580137657</v>
      </c>
      <c r="C18" s="498">
        <f>IF(ISNUMBER(NºAsuntos!I18/NºAsuntos!G18),NºAsuntos!I18/NºAsuntos!G18," - ")</f>
        <v>9.1633466135458169E-2</v>
      </c>
      <c r="D18" s="499">
        <f>IF(ISNUMBER('Resol  Asuntos'!D18/NºAsuntos!G18),'Resol  Asuntos'!D18/NºAsuntos!G18," - ")</f>
        <v>7.9681274900398405E-2</v>
      </c>
      <c r="E18" s="500">
        <f>IF(ISNUMBER((NºAsuntos!C18+NºAsuntos!E18)/NºAsuntos!G18),(NºAsuntos!C18+NºAsuntos!E18)/NºAsuntos!G18," - ")</f>
        <v>1.0866533864541832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1.0564048497627834</v>
      </c>
      <c r="C21" s="498">
        <f>IF(ISNUMBER(NºAsuntos!I21/NºAsuntos!G21),NºAsuntos!I21/NºAsuntos!G21," - ")</f>
        <v>0.94311377245508987</v>
      </c>
      <c r="D21" s="499">
        <f>IF(ISNUMBER('Resol  Asuntos'!D21/NºAsuntos!G21),'Resol  Asuntos'!D21/NºAsuntos!G21," - ")</f>
        <v>0.90618762475049897</v>
      </c>
      <c r="E21" s="500">
        <f>IF(ISNUMBER((NºAsuntos!C21+NºAsuntos!E21)/NºAsuntos!G21),(NºAsuntos!C21+NºAsuntos!E21)/NºAsuntos!G21," - ")</f>
        <v>1.75</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0.99092759030015265</v>
      </c>
      <c r="C23" s="1156">
        <f>IF(ISNUMBER(NºAsuntos!I23/NºAsuntos!G23),NºAsuntos!I23/NºAsuntos!G23," - ")</f>
        <v>0.30144605116796441</v>
      </c>
      <c r="D23" s="1159">
        <f>IF(ISNUMBER('Resol  Asuntos'!D23/NºAsuntos!G23),'Resol  Asuntos'!D23/NºAsuntos!G23," - ")</f>
        <v>0.2288012321382733</v>
      </c>
      <c r="E23" s="1158">
        <f>IF(ISNUMBER((NºAsuntos!C23+NºAsuntos!E23)/NºAsuntos!G23),(NºAsuntos!C23+NºAsuntos!E23)/NºAsuntos!G23," - ")</f>
        <v>1.2535295627620433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0.97603956592720642</v>
      </c>
      <c r="C31" s="1099">
        <f>IF(ISNUMBER(NºAsuntos!I31/NºAsuntos!G31),NºAsuntos!I31/NºAsuntos!G31," - ")</f>
        <v>0.36444138338170906</v>
      </c>
      <c r="D31" s="1100">
        <f>IF(ISNUMBER('Resol  Asuntos'!D31/NºAsuntos!G31),'Resol  Asuntos'!D31/NºAsuntos!G31," - ")</f>
        <v>0.19324051753824961</v>
      </c>
      <c r="E31" s="1101">
        <f>IF(ISNUMBER((NºAsuntos!C31+NºAsuntos!E31)/NºAsuntos!G31),(NºAsuntos!C31+NºAsuntos!E31)/NºAsuntos!G31," - ")</f>
        <v>1.3363014709499681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spxd0RAYhrW0+X2tzDohb4S1hukW27ig1P0SAfRgTsfkRhGxiil9Buk6TqPvGNwjeN1c8RxJvXQd3SSITNzlQ==" saltValue="lcPwXcMlZbSS62h3qR1k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GETAFE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1</v>
      </c>
      <c r="F10" s="239">
        <f>IF(ISNUMBER(Datos!L10+Datos!K10-Datos!J10-K10),Datos!L10+Datos!K10-Datos!J10-K10," - ")</f>
        <v>48</v>
      </c>
      <c r="G10" s="373">
        <f>IF(ISNUMBER(Datos!I10),Datos!I10," - ")</f>
        <v>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126</v>
      </c>
      <c r="X10" s="240">
        <f>IF(ISNUMBER(Datos!Q10),Datos!Q10," - ")</f>
        <v>26</v>
      </c>
      <c r="Y10" s="374">
        <f t="shared" ref="Y10:Y13" si="0">SUM(W10:X10)</f>
        <v>152</v>
      </c>
      <c r="Z10" s="375" t="str">
        <f>IF(ISNUMBER(Datos!CC10),Datos!CC10," - ")</f>
        <v xml:space="preserve"> - </v>
      </c>
      <c r="AA10" s="372">
        <f>IF(ISNUMBER(Datos!L10),Datos!L10,"-")</f>
        <v>48</v>
      </c>
      <c r="AB10" s="374">
        <f>IF(ISNUMBER(Datos!R10),Datos!R10," - ")</f>
        <v>54</v>
      </c>
      <c r="AC10" s="374">
        <f t="shared" ref="AC10:AC13" si="1">IF(ISNUMBER(AA10+AB10),AA10+AB10," - ")</f>
        <v>102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4.1904761904761898</v>
      </c>
      <c r="AN10" s="267">
        <f>IF(ISNUMBER('Resol  Asuntos'!D10/NºAsuntos!G10),'Resol  Asuntos'!D10/NºAsuntos!G10," - ")</f>
        <v>0.38095238095238093</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320</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1080</v>
      </c>
      <c r="Y12" s="374">
        <f t="shared" si="0"/>
        <v>1080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1206</v>
      </c>
      <c r="AJ12" s="243" t="str">
        <f>IF(ISNUMBER(Datos!BW12),Datos!BW12," - ")</f>
        <v xml:space="preserve"> - </v>
      </c>
      <c r="AK12" s="242" t="str">
        <f>IF(ISNUMBER(Datos!BX12),Datos!BX12," - ")</f>
        <v xml:space="preserve"> - </v>
      </c>
      <c r="AL12" s="266">
        <f>IF(ISNUMBER(NºAsuntos!G12/NºAsuntos!E12),NºAsuntos!G12/NºAsuntos!E12," - ")</f>
        <v>0.95598472939591284</v>
      </c>
      <c r="AM12" s="284">
        <f>IF(ISNUMBER(((NºAsuntos!I12/NºAsuntos!G12)*11)/factor_trimestre),((NºAsuntos!I12/NºAsuntos!G12)*11)/factor_trimestre," - ")</f>
        <v>4.9573643410852712</v>
      </c>
      <c r="AN12" s="267">
        <f>IF(ISNUMBER('Resol  Asuntos'!D12/NºAsuntos!G12),'Resol  Asuntos'!D12/NºAsuntos!G12," - ")</f>
        <v>0.14164904862579281</v>
      </c>
      <c r="AO12" s="268">
        <f>IF(ISNUMBER((NºAsuntos!C12+NºAsuntos!E12)/NºAsuntos!G12),(NºAsuntos!C12+NºAsuntos!E12)/NºAsuntos!G12," - ")</f>
        <v>1.4474982381959127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48</v>
      </c>
      <c r="G14" s="1163">
        <f t="shared" si="5"/>
        <v>63</v>
      </c>
      <c r="H14" s="1162">
        <f t="shared" si="5"/>
        <v>0</v>
      </c>
      <c r="I14" s="1164">
        <f t="shared" si="5"/>
        <v>0</v>
      </c>
      <c r="J14" s="1164">
        <f t="shared" si="5"/>
        <v>0</v>
      </c>
      <c r="K14" s="1164">
        <f t="shared" si="5"/>
        <v>0</v>
      </c>
      <c r="L14" s="1164">
        <f t="shared" si="5"/>
        <v>1388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126</v>
      </c>
      <c r="X14" s="1164">
        <f t="shared" si="6"/>
        <v>1106</v>
      </c>
      <c r="Y14" s="1165">
        <f t="shared" si="6"/>
        <v>1232</v>
      </c>
      <c r="Z14" s="1165">
        <f t="shared" si="6"/>
        <v>0</v>
      </c>
      <c r="AA14" s="1165">
        <f t="shared" si="6"/>
        <v>48</v>
      </c>
      <c r="AB14" s="1165">
        <f t="shared" si="6"/>
        <v>6402</v>
      </c>
      <c r="AC14" s="1165">
        <f t="shared" si="6"/>
        <v>102</v>
      </c>
      <c r="AD14" s="1165">
        <f t="shared" si="6"/>
        <v>0</v>
      </c>
      <c r="AE14" s="1169">
        <f t="shared" si="6"/>
        <v>0</v>
      </c>
      <c r="AF14" s="1162">
        <f t="shared" si="6"/>
        <v>0</v>
      </c>
      <c r="AG14" s="1170">
        <f t="shared" si="6"/>
        <v>0</v>
      </c>
      <c r="AH14" s="1167">
        <f t="shared" si="6"/>
        <v>0</v>
      </c>
      <c r="AI14" s="1162">
        <f t="shared" si="6"/>
        <v>1254</v>
      </c>
      <c r="AJ14" s="1164">
        <f t="shared" si="6"/>
        <v>0</v>
      </c>
      <c r="AK14" s="1167">
        <f>SUBTOTAL(9,AK9:AK13)</f>
        <v>0</v>
      </c>
      <c r="AL14" s="1171">
        <f>IF(ISNUMBER(NºAsuntos!G14/NºAsuntos!E14),NºAsuntos!G14/NºAsuntos!E14," - ")</f>
        <v>0.95659875996457044</v>
      </c>
      <c r="AM14" s="1171">
        <f>IF(ISNUMBER(((NºAsuntos!I14/NºAsuntos!G14)*11)/factor_trimestre),((NºAsuntos!I14/NºAsuntos!G14)*11)/factor_trimestre," - ")</f>
        <v>4.9461805555555554</v>
      </c>
      <c r="AN14" s="1172">
        <f>IF(ISNUMBER('Resol  Asuntos'!D14/NºAsuntos!G14),'Resol  Asuntos'!D14/NºAsuntos!G14," - ")</f>
        <v>0.1451388888888889</v>
      </c>
      <c r="AO14" s="1173">
        <f>IF(ISNUMBER((NºAsuntos!C14+NºAsuntos!E14)/NºAsuntos!G14),(NºAsuntos!C14+NºAsuntos!E14)/NºAsuntos!G14," - ")</f>
        <v>1.4482638888888888</v>
      </c>
      <c r="AP14" s="1174" t="str">
        <f t="shared" si="2"/>
        <v xml:space="preserve"> - </v>
      </c>
      <c r="AQ14" s="1174">
        <f>IF(ISNUMBER((H14-W14+K14)/(F14)),(H14-W14+K14)/(F14)," - ")</f>
        <v>-2.625</v>
      </c>
      <c r="AR14" s="1175">
        <f>IF(ISNUMBER((Datos!P14-Datos!Q14)/(Datos!R14-Datos!P14+Datos!Q14)),(Datos!P14-Datos!Q14)/(Datos!R14-Datos!P14+Datos!Q14)," - ")</f>
        <v>4.6078431372549022E-2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510</v>
      </c>
      <c r="C17" s="173" t="str">
        <f>Datos!A17</f>
        <v xml:space="preserve">Jdos. 1ª Instª. e Instr.                        </v>
      </c>
      <c r="D17" s="173"/>
      <c r="E17" s="1402">
        <f>IF(ISNUMBER(Datos!AQ17),Datos!AQ17," - ")</f>
        <v>8</v>
      </c>
      <c r="F17" s="239">
        <f>IF(ISNUMBER(AA17+W17-Datos!J17-K17),AA17+W17-Datos!J17-K17," - ")</f>
        <v>1340</v>
      </c>
      <c r="G17" s="373">
        <f>IF(ISNUMBER(IF(D_I="SI",Datos!I17,Datos!I17+Datos!AC17)),IF(D_I="SI",Datos!I17,Datos!I17+Datos!AC17)," - ")</f>
        <v>1172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8679</v>
      </c>
      <c r="X17" s="240">
        <f>IF(ISNUMBER(Datos!Q17),Datos!Q17," - ")</f>
        <v>333</v>
      </c>
      <c r="Y17" s="374">
        <f t="shared" ref="Y17:Y22" si="9">SUM(W17:X17)</f>
        <v>9012</v>
      </c>
      <c r="Z17" s="375" t="str">
        <f>IF(ISNUMBER(Datos!CC17),Datos!CC17," - ")</f>
        <v xml:space="preserve"> - </v>
      </c>
      <c r="AA17" s="372">
        <f>IF(ISNUMBER(IF(D_I="SI",Datos!L17,Datos!L17+Datos!AF17)),IF(D_I="SI",Datos!L17,Datos!L17+Datos!AF17)," - ")</f>
        <v>1541</v>
      </c>
      <c r="AB17" s="374">
        <f>IF(ISNUMBER(Datos!R17),Datos!R17," - ")</f>
        <v>311</v>
      </c>
      <c r="AC17" s="374">
        <f t="shared" si="8"/>
        <v>1852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778</v>
      </c>
      <c r="AJ17" s="245" t="str">
        <f>IF(ISNUMBER(Datos!BW17),Datos!BW17," - ")</f>
        <v xml:space="preserve"> - </v>
      </c>
      <c r="AK17" s="246" t="str">
        <f>IF(ISNUMBER(Datos!BX17),Datos!BX17," - ")</f>
        <v xml:space="preserve"> - </v>
      </c>
      <c r="AL17" s="266">
        <f>IF(ISNUMBER(NºAsuntos!G17/NºAsuntos!E17),NºAsuntos!G17/NºAsuntos!E17," - ")</f>
        <v>0.97736486486486485</v>
      </c>
      <c r="AM17" s="284">
        <f>IF(ISNUMBER(((NºAsuntos!I17/NºAsuntos!G17)*11)/factor_trimestre),((NºAsuntos!I17/NºAsuntos!G17)*11)/factor_trimestre," - ")</f>
        <v>1.9531051964512041</v>
      </c>
      <c r="AN17" s="267">
        <f>IF(ISNUMBER('Resol  Asuntos'!D17/NºAsuntos!G17),'Resol  Asuntos'!D17/NºAsuntos!G17," - ")</f>
        <v>8.9641663786150474E-2</v>
      </c>
      <c r="AO17" s="268">
        <f>IF(ISNUMBER((NºAsuntos!C17+NºAsuntos!E17)/NºAsuntos!G17),(NºAsuntos!C17+NºAsuntos!E17)/NºAsuntos!G17," - ")</f>
        <v>1.1581979490724739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1004</v>
      </c>
      <c r="X18" s="240">
        <f>IF(ISNUMBER(Datos!Q18),Datos!Q18," - ")</f>
        <v>11</v>
      </c>
      <c r="Y18" s="374">
        <f t="shared" si="9"/>
        <v>1015</v>
      </c>
      <c r="Z18" s="375" t="str">
        <f>IF(ISNUMBER(Datos!CC18),Datos!CC18," - ")</f>
        <v xml:space="preserve"> - </v>
      </c>
      <c r="AA18" s="372">
        <f>IF(ISNUMBER(Datos!L18),Datos!L18,"-")</f>
        <v>92</v>
      </c>
      <c r="AB18" s="374">
        <f>IF(ISNUMBER(Datos!R18),Datos!R18," - ")</f>
        <v>3</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80</v>
      </c>
      <c r="AJ18" s="245" t="str">
        <f>IF(ISNUMBER(Datos!BW18),Datos!BW18," - ")</f>
        <v xml:space="preserve"> - </v>
      </c>
      <c r="AK18" s="246" t="str">
        <f>IF(ISNUMBER(Datos!BX18),Datos!BX18," - ")</f>
        <v xml:space="preserve"> - </v>
      </c>
      <c r="AL18" s="266">
        <f>IF(ISNUMBER(NºAsuntos!G18/NºAsuntos!E18),NºAsuntos!G18/NºAsuntos!E18," - ")</f>
        <v>0.98721730580137657</v>
      </c>
      <c r="AM18" s="284">
        <f>IF(ISNUMBER(((NºAsuntos!I18/NºAsuntos!G18)*11)/factor_trimestre),((NºAsuntos!I18/NºAsuntos!G18)*11)/factor_trimestre," - ")</f>
        <v>1.0079681274900398</v>
      </c>
      <c r="AN18" s="267">
        <f>IF(ISNUMBER('Resol  Asuntos'!D18/NºAsuntos!G18),'Resol  Asuntos'!D18/NºAsuntos!G18," - ")</f>
        <v>7.9681274900398405E-2</v>
      </c>
      <c r="AO18" s="268">
        <f>IF(ISNUMBER((NºAsuntos!C18+NºAsuntos!E18)/NºAsuntos!G18),(NºAsuntos!C18+NºAsuntos!E18)/NºAsuntos!G18," - ")</f>
        <v>1.0866533864541832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5</v>
      </c>
      <c r="B21" s="300" t="s">
        <v>510</v>
      </c>
      <c r="C21" s="7" t="str">
        <f>Datos!A21</f>
        <v xml:space="preserve">Jdos. de lo Penal                               </v>
      </c>
      <c r="D21" s="7"/>
      <c r="E21" s="1402">
        <f>IF(ISNUMBER(Datos!AQ21),Datos!AQ21," - ")</f>
        <v>5</v>
      </c>
      <c r="F21" s="239">
        <f>IF(ISNUMBER(Datos!L21+Datos!K21-Datos!J21-K21),Datos!L21+Datos!K21-Datos!J21-K21," - ")</f>
        <v>1997</v>
      </c>
      <c r="G21" s="373">
        <f>IF(ISNUMBER(Datos!I21),Datos!I21," - ")</f>
        <v>1610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2458</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2004</v>
      </c>
      <c r="X21" s="240">
        <f>IF(ISNUMBER(Datos!Q21),Datos!Q21," - ")</f>
        <v>3026</v>
      </c>
      <c r="Y21" s="374">
        <f t="shared" si="9"/>
        <v>5030</v>
      </c>
      <c r="Z21" s="375" t="str">
        <f>IF(ISNUMBER(Datos!CC21),Datos!CC21," - ")</f>
        <v xml:space="preserve"> - </v>
      </c>
      <c r="AA21" s="372">
        <f>IF(ISNUMBER(Datos!L21),Datos!L21,"-")</f>
        <v>1890</v>
      </c>
      <c r="AB21" s="374">
        <f>IF(ISNUMBER(Datos!R21),Datos!R21," - ")</f>
        <v>3087</v>
      </c>
      <c r="AC21" s="374">
        <f t="shared" si="8"/>
        <v>4977</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1816</v>
      </c>
      <c r="AJ21" s="245" t="str">
        <f>IF(ISNUMBER(Datos!BW21),Datos!BW21," - ")</f>
        <v xml:space="preserve"> - </v>
      </c>
      <c r="AK21" s="246" t="str">
        <f>IF(ISNUMBER(Datos!BX21),Datos!BX21," - ")</f>
        <v xml:space="preserve"> - </v>
      </c>
      <c r="AL21" s="266">
        <f>IF(ISNUMBER(NºAsuntos!G21/NºAsuntos!E21),NºAsuntos!G21/NºAsuntos!E21," - ")</f>
        <v>1.0564048497627834</v>
      </c>
      <c r="AM21" s="284">
        <f>IF(ISNUMBER(((NºAsuntos!I21/NºAsuntos!G21)*11)/factor_trimestre),((NºAsuntos!I21/NºAsuntos!G21)*11)/factor_trimestre," - ")</f>
        <v>10.374251497005989</v>
      </c>
      <c r="AN21" s="267">
        <f>IF(ISNUMBER('Resol  Asuntos'!D21/NºAsuntos!G21),'Resol  Asuntos'!D21/NºAsuntos!G21," - ")</f>
        <v>0.90618762475049897</v>
      </c>
      <c r="AO21" s="268">
        <f>IF(ISNUMBER((NºAsuntos!C21+NºAsuntos!E21)/NºAsuntos!G21),(NºAsuntos!C21+NºAsuntos!E21)/NºAsuntos!G21," - ")</f>
        <v>1.75</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3337</v>
      </c>
      <c r="G23" s="1163">
        <f>SUBTOTAL(9,G16:G22)</f>
        <v>2856</v>
      </c>
      <c r="H23" s="1162">
        <f t="shared" ref="H23:O23" si="13">SUBTOTAL(9,H15:H22)</f>
        <v>0</v>
      </c>
      <c r="I23" s="1164">
        <f t="shared" si="13"/>
        <v>0</v>
      </c>
      <c r="J23" s="1164">
        <f t="shared" si="13"/>
        <v>0</v>
      </c>
      <c r="K23" s="1164">
        <f t="shared" si="13"/>
        <v>0</v>
      </c>
      <c r="L23" s="1164">
        <f t="shared" si="13"/>
        <v>2824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11687</v>
      </c>
      <c r="X23" s="1164">
        <f t="shared" si="14"/>
        <v>3370</v>
      </c>
      <c r="Y23" s="1165">
        <f t="shared" si="14"/>
        <v>15057</v>
      </c>
      <c r="Z23" s="1165">
        <f t="shared" si="14"/>
        <v>0</v>
      </c>
      <c r="AA23" s="1165">
        <f t="shared" si="14"/>
        <v>3523</v>
      </c>
      <c r="AB23" s="1165">
        <f t="shared" si="14"/>
        <v>3401</v>
      </c>
      <c r="AC23" s="1165">
        <f t="shared" si="14"/>
        <v>6924</v>
      </c>
      <c r="AD23" s="1165">
        <f t="shared" si="14"/>
        <v>0</v>
      </c>
      <c r="AE23" s="1169">
        <f t="shared" si="14"/>
        <v>0</v>
      </c>
      <c r="AF23" s="1162">
        <f t="shared" si="14"/>
        <v>0</v>
      </c>
      <c r="AG23" s="1170">
        <f t="shared" si="14"/>
        <v>0</v>
      </c>
      <c r="AH23" s="1167">
        <f t="shared" si="14"/>
        <v>0</v>
      </c>
      <c r="AI23" s="1162">
        <f t="shared" si="14"/>
        <v>2674</v>
      </c>
      <c r="AJ23" s="1164">
        <f t="shared" si="14"/>
        <v>0</v>
      </c>
      <c r="AK23" s="1167">
        <f t="shared" si="14"/>
        <v>0</v>
      </c>
      <c r="AL23" s="1171">
        <f>IF(ISNUMBER(NºAsuntos!G23/NºAsuntos!E23),NºAsuntos!G23/NºAsuntos!E23," - ")</f>
        <v>0.99092759030015265</v>
      </c>
      <c r="AM23" s="1171">
        <f>IF(ISNUMBER(((NºAsuntos!I23/NºAsuntos!G23)*11)/factor_trimestre),((NºAsuntos!I23/NºAsuntos!G23)*11)/factor_trimestre," - ")</f>
        <v>3.3159065628476085</v>
      </c>
      <c r="AN23" s="1172">
        <f>IF(ISNUMBER('Resol  Asuntos'!D23/NºAsuntos!G23),'Resol  Asuntos'!D23/NºAsuntos!G23," - ")</f>
        <v>0.2288012321382733</v>
      </c>
      <c r="AO23" s="1173">
        <f>IF(ISNUMBER((NºAsuntos!C23+NºAsuntos!E23)/NºAsuntos!G23),(NºAsuntos!C23+NºAsuntos!E23)/NºAsuntos!G23," - ")</f>
        <v>1.2535295627620433</v>
      </c>
      <c r="AP23" s="1174" t="str">
        <f t="shared" si="2"/>
        <v xml:space="preserve"> - </v>
      </c>
      <c r="AQ23" s="1174">
        <f>IF(ISNUMBER((H23-W23+K23)/(F23)),(H23-W23+K23)/(F23)," - ")</f>
        <v>-3.5022475277195086</v>
      </c>
      <c r="AR23" s="1175">
        <f>IF(ISNUMBER((Datos!P23-Datos!Q23)/(Datos!R23-Datos!P23+Datos!Q23)),(Datos!P23-Datos!Q23)/(Datos!R23-Datos!P23+Datos!Q23)," - ")</f>
        <v>-0.13833291107170004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23</v>
      </c>
      <c r="F31" s="1117">
        <f t="shared" si="20"/>
        <v>3385</v>
      </c>
      <c r="G31" s="1118">
        <f t="shared" si="20"/>
        <v>2919</v>
      </c>
      <c r="H31" s="1117">
        <f t="shared" si="20"/>
        <v>0</v>
      </c>
      <c r="I31" s="1119">
        <f t="shared" si="20"/>
        <v>0</v>
      </c>
      <c r="J31" s="1119">
        <f t="shared" si="20"/>
        <v>0</v>
      </c>
      <c r="K31" s="1180">
        <f t="shared" si="20"/>
        <v>0</v>
      </c>
      <c r="L31" s="1119">
        <f t="shared" si="20"/>
        <v>4212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11813</v>
      </c>
      <c r="X31" s="1118">
        <f t="shared" si="21"/>
        <v>4476</v>
      </c>
      <c r="Y31" s="1125">
        <f t="shared" si="21"/>
        <v>16289</v>
      </c>
      <c r="Z31" s="1125">
        <f t="shared" si="21"/>
        <v>0</v>
      </c>
      <c r="AA31" s="1125">
        <f t="shared" si="21"/>
        <v>3571</v>
      </c>
      <c r="AB31" s="1125">
        <f t="shared" si="21"/>
        <v>9803</v>
      </c>
      <c r="AC31" s="1125">
        <f t="shared" si="21"/>
        <v>7026</v>
      </c>
      <c r="AD31" s="1125">
        <f t="shared" si="21"/>
        <v>0</v>
      </c>
      <c r="AE31" s="1127">
        <f t="shared" si="21"/>
        <v>0</v>
      </c>
      <c r="AF31" s="1128">
        <f t="shared" si="21"/>
        <v>0</v>
      </c>
      <c r="AG31" s="1129">
        <f t="shared" si="21"/>
        <v>0</v>
      </c>
      <c r="AH31" s="1127">
        <f t="shared" si="21"/>
        <v>0</v>
      </c>
      <c r="AI31" s="1117">
        <f t="shared" si="21"/>
        <v>3928</v>
      </c>
      <c r="AJ31" s="1117">
        <f t="shared" si="21"/>
        <v>0</v>
      </c>
      <c r="AK31" s="1127">
        <f t="shared" si="21"/>
        <v>0</v>
      </c>
      <c r="AL31" s="1183">
        <f>IF(ISNUMBER(NºAsuntos!G31/NºAsuntos!E31),NºAsuntos!G31/NºAsuntos!E31," - ")</f>
        <v>0.97603956592720642</v>
      </c>
      <c r="AM31" s="1184">
        <f>IF(ISNUMBER(((NºAsuntos!I31/NºAsuntos!G31)*11)/factor_trimestre),((NºAsuntos!I31/NºAsuntos!G31)*11)/factor_trimestre," - ")</f>
        <v>4.0088552171987999</v>
      </c>
      <c r="AN31" s="1184">
        <f>IF(ISNUMBER('Resol  Asuntos'!D31/NºAsuntos!G31),'Resol  Asuntos'!D31/NºAsuntos!G31," - ")</f>
        <v>0.19324051753824961</v>
      </c>
      <c r="AO31" s="1185">
        <f>IF(ISNUMBER((NºAsuntos!C31+NºAsuntos!E31)/NºAsuntos!G31),(NºAsuntos!C31+NºAsuntos!E31)/NºAsuntos!G31," - ")</f>
        <v>1.3363014709499681</v>
      </c>
      <c r="AP31" s="1186" t="str">
        <f t="shared" si="2"/>
        <v xml:space="preserve"> - </v>
      </c>
      <c r="AQ31" s="1187">
        <f>IF(OR(ISNUMBER(FIND("01",Criterios!A8,1)),ISNUMBER(FIND("02",Criterios!A8,1)),ISNUMBER(FIND("03",Criterios!A8,1)),ISNUMBER(FIND("04",Criterios!A8,1))),(I31-W31+K31)/(F31-K31),(H31-W31+K31)/(F31-K31))</f>
        <v>-3.4898079763663219</v>
      </c>
      <c r="AR31" s="1188">
        <f>IF(ISNUMBER((Datos!P31-Datos!Q31)/(Datos!R31-Datos!P31+Datos!Q31)),(Datos!P31-Datos!Q31)/(Datos!R31-Datos!P31+Datos!Q31)," - ")</f>
        <v>-2.6224297208701699E-2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729.75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4.2205290541679759</v>
      </c>
      <c r="F33" s="276">
        <f>IF(ISNUMBER(STDEV(F8:F30)),STDEV(F8:F30),"-")</f>
        <v>1315.0556931896369</v>
      </c>
      <c r="G33" s="277">
        <f>IF(ISNUMBER(STDEV(G8:G30)),STDEV(G8:G30),"-")</f>
        <v>1060.6974457537697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4585.5878186833515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950.76659128889833</v>
      </c>
      <c r="AJ33" s="276">
        <f t="shared" si="25"/>
        <v>0</v>
      </c>
      <c r="AK33" s="278">
        <f t="shared" si="25"/>
        <v>0</v>
      </c>
      <c r="AL33" s="273">
        <f t="shared" si="25"/>
        <v>3.4025019172617972E-2</v>
      </c>
      <c r="AM33" s="274">
        <f t="shared" si="25"/>
        <v>3.0279958769205599</v>
      </c>
      <c r="AN33" s="274">
        <f t="shared" si="25"/>
        <v>0.29399412714537387</v>
      </c>
      <c r="AO33" s="275">
        <f t="shared" si="25"/>
        <v>0.22793391115803224</v>
      </c>
      <c r="AP33" s="317" t="str">
        <f t="shared" si="25"/>
        <v>-</v>
      </c>
      <c r="AQ33" s="318">
        <f t="shared" si="25"/>
        <v>0.62030767562959943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kZCcgEq0X1lCVaSDyZftJJrD9OZpwOWFOybiMUVwfVPV4sJNNuy1xUcjAGtUuhCtW/dOg+U+91xx8EzSdy33pA==" saltValue="atoRzCMS3p4gy+GrsRbn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GETAFE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0.8</v>
      </c>
      <c r="E10" s="393">
        <f>IF(ISNUMBER((Datos!J10-Datos!T10)/Datos!T10),(Datos!J10-Datos!T10)/Datos!T10," - ")</f>
        <v>4.1322314049586778E-2</v>
      </c>
      <c r="F10" s="393">
        <f>IF(ISNUMBER((Datos!K10-Datos!U10)/Datos!U10),(Datos!K10-Datos!U10)/Datos!U10," - ")</f>
        <v>0.3125</v>
      </c>
      <c r="G10" s="394">
        <f>IF(ISNUMBER((Datos!L10-Datos!V10)/Datos!V10),(Datos!L10-Datos!V10)/Datos!V10," - ")</f>
        <v>-0.23809523809523808</v>
      </c>
      <c r="H10" s="244">
        <f>IF(ISNUMBER((Datos!M10-Datos!W10)/Datos!W10),(Datos!M10-Datos!W10)/Datos!W10," - ")</f>
        <v>0.45454545454545453</v>
      </c>
      <c r="I10" s="395">
        <f>IF(ISNUMBER((Tasas!C10-Datos!BE10)/Datos!BE10),(Tasas!C10-Datos!BE10)/Datos!BE10," - ")</f>
        <v>-0.41950113378684811</v>
      </c>
      <c r="J10" s="394">
        <f>IF(ISNUMBER((Tasas!D10-Datos!BF10)/Datos!BF10),(Tasas!D10-Datos!BF10)/Datos!BF10," - ")</f>
        <v>0.10822510822510817</v>
      </c>
      <c r="K10" s="396">
        <f>IF(ISNUMBER((Tasas!E10-Datos!BG10)/Datos!BG10),(Tasas!E10-Datos!BG10)/Datos!BG10," - ")</f>
        <v>-7.6923076923076927E-2</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5.7894736842105263E-2</v>
      </c>
      <c r="I12" s="395">
        <f>IF(ISNUMBER((Tasas!C12-Datos!BE12)/Datos!BE12),(Tasas!C12-Datos!BE12)/Datos!BE12," - ")</f>
        <v>9.3256032503789832E-3</v>
      </c>
      <c r="J12" s="394">
        <f>IF(ISNUMBER((Tasas!D12-Datos!BF12)/Datos!BF12),(Tasas!D12-Datos!BF12)/Datos!BF12," - ")</f>
        <v>-0.78156255696405252</v>
      </c>
      <c r="K12" s="396">
        <f>IF(ISNUMBER((Tasas!E12-Datos!BG12)/Datos!BG12),(Tasas!E12-Datos!BG12)/Datos!BG12," - ")</f>
        <v>9.1620230773872303E-3</v>
      </c>
      <c r="M12" t="e">
        <f>IF(Monitorios="SI",Datos!CE12,0)</f>
        <v>#REF!</v>
      </c>
      <c r="N12" t="e">
        <f>IF(Monitorios="SI",Datos!CF12,0)</f>
        <v>#REF!</v>
      </c>
      <c r="O12" t="e">
        <f>IF(Monitorios="SI",Datos!CG12,0)</f>
        <v>#REF!</v>
      </c>
      <c r="P12" t="e">
        <f>IF(Monitorios="SI",Datos!CH12,0)</f>
        <v>#REF!</v>
      </c>
      <c r="Q12">
        <f>IF(J_V="SI",0,Datos!AG12)</f>
        <v>215</v>
      </c>
      <c r="R12">
        <f>IF(J_V="SI",0,Datos!AH12)</f>
        <v>775</v>
      </c>
      <c r="S12">
        <f>IF(J_V="SI",0,Datos!AI12)</f>
        <v>764</v>
      </c>
      <c r="T12">
        <f>IF(J_V="SI",0,Datos!AJ12)</f>
        <v>224</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6.9053708439897693E-2</v>
      </c>
      <c r="I14" s="402">
        <f>IF(ISNUMBER((Tasas!C14-Datos!BE14)/Datos!BE14),(Tasas!C14-Datos!BE14)/Datos!BE14," - ")</f>
        <v>1.2234072265313678E-3</v>
      </c>
      <c r="J14" s="400">
        <f>IF(ISNUMBER((Tasas!D14-Datos!BF14)/Datos!BF14),(Tasas!D14-Datos!BF14)/Datos!BF14," - ")</f>
        <v>-0.77487061681453306</v>
      </c>
      <c r="K14" s="403">
        <f>IF(ISNUMBER((Tasas!E14-Datos!BG14)/Datos!BG14),(Tasas!E14-Datos!BG14)/Datos!BG14," - ")</f>
        <v>8.0364047034641589E-3</v>
      </c>
      <c r="M14" t="e">
        <f>IF(Monitorios="SI",Datos!CE14,0)</f>
        <v>#REF!</v>
      </c>
      <c r="N14" t="e">
        <f>IF(Monitorios="SI",Datos!CF14,0)</f>
        <v>#REF!</v>
      </c>
      <c r="O14" t="e">
        <f>IF(Monitorios="SI",Datos!CG14,0)</f>
        <v>#REF!</v>
      </c>
      <c r="P14" t="e">
        <f>IF(Monitorios="SI",Datos!CH14,0)</f>
        <v>#REF!</v>
      </c>
      <c r="Q14">
        <f>IF(J_V="SI",0,Datos!AG14)</f>
        <v>215</v>
      </c>
      <c r="R14">
        <f>IF(J_V="SI",0,Datos!AH14)</f>
        <v>775</v>
      </c>
      <c r="S14">
        <f>IF(J_V="SI",0,Datos!AI14)</f>
        <v>764</v>
      </c>
      <c r="T14">
        <f>IF(J_V="SI",0,Datos!AJ14)</f>
        <v>224</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0.16616915422885573</v>
      </c>
      <c r="E17" s="393">
        <f>IF(ISNUMBER(
   IF(D_I="SI",(Datos!J17-Datos!T17)/Datos!T17,(Datos!J17+Datos!AD17-(Datos!T17+Datos!AL17))/(Datos!T17+Datos!AL17))
     ),IF(D_I="SI",(Datos!J17-Datos!T17)/Datos!T17,(Datos!J17+Datos!AD17-(Datos!T17+Datos!AL17))/(Datos!T17+Datos!AL17))," - ")</f>
        <v>0.1667323610563658</v>
      </c>
      <c r="F17" s="393">
        <f>IF(ISNUMBER(
   IF(D_I="SI",(Datos!K17-Datos!U17)/Datos!U17,(Datos!K17+Datos!AE17-(Datos!U17+Datos!AM17))/(Datos!U17+Datos!AM17))
     ),IF(D_I="SI",(Datos!K17-Datos!U17)/Datos!U17,(Datos!K17+Datos!AE17-(Datos!U17+Datos!AM17))/(Datos!U17+Datos!AM17))," - ")</f>
        <v>0.13480648535564854</v>
      </c>
      <c r="G17" s="394">
        <f>IF(ISNUMBER(
   IF(D_I="SI",(Datos!L17-Datos!V17)/Datos!V17,(Datos!L17+Datos!AF17-(Datos!V17+Datos!AN17))/(Datos!V17+Datos!AN17))
     ),IF(D_I="SI",(Datos!L17-Datos!V17)/Datos!V17,(Datos!L17+Datos!AF17-(Datos!V17+Datos!AN17))/(Datos!V17+Datos!AN17))," - ")</f>
        <v>0.31484641638225258</v>
      </c>
      <c r="H17" s="244">
        <f>IF(ISNUMBER((Datos!M17-Datos!W17)/Datos!W17),(Datos!M17-Datos!W17)/Datos!W17," - ")</f>
        <v>-0.18704284221525602</v>
      </c>
      <c r="I17" s="395">
        <f>IF(ISNUMBER((Tasas!C17-Datos!BE17)/Datos!BE17),(Tasas!C17-Datos!BE17)/Datos!BE17," - ")</f>
        <v>0.15865253975014021</v>
      </c>
      <c r="J17" s="394">
        <f>IF(ISNUMBER((Tasas!D17-Datos!BF17)/Datos!BF17),(Tasas!D17-Datos!BF17)/Datos!BF17," - ")</f>
        <v>-0.28361604531193435</v>
      </c>
      <c r="K17" s="396">
        <f>IF(ISNUMBER((Tasas!E17-Datos!BG17)/Datos!BG17),(Tasas!E17-Datos!BG17)/Datos!BG17," - ")</f>
        <v>2.8075431117256296E-2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0.27586206896551724</v>
      </c>
      <c r="E18" s="393">
        <f>IF(ISNUMBER(
   IF(D_I="SI",(Datos!J18-Datos!T18)/Datos!T18,(Datos!J18+Datos!AD18-(Datos!T18+Datos!AL18))/(Datos!T18+Datos!AL18))
     ),IF(D_I="SI",(Datos!J18-Datos!T18)/Datos!T18,(Datos!J18+Datos!AD18-(Datos!T18+Datos!AL18))/(Datos!T18+Datos!AL18))," - ")</f>
        <v>3.5641547861507125E-2</v>
      </c>
      <c r="F18" s="393">
        <f>IF(ISNUMBER(
   IF(D_I="SI",(Datos!K18-Datos!U18)/Datos!U18,(Datos!K18+Datos!AE18-(Datos!U18+Datos!AM18))/(Datos!U18+Datos!AM18))
     ),IF(D_I="SI",(Datos!K18-Datos!U18)/Datos!U18,(Datos!K18+Datos!AE18-(Datos!U18+Datos!AM18))/(Datos!U18+Datos!AM18))," - ")</f>
        <v>2.9743589743589743E-2</v>
      </c>
      <c r="G18" s="394">
        <f>IF(ISNUMBER(
   IF(D_I="SI",(Datos!L18-Datos!V18)/Datos!V18,(Datos!L18+Datos!AF18-(Datos!V18+Datos!AN18))/(Datos!V18+Datos!AN18))
     ),IF(D_I="SI",(Datos!L18-Datos!V18)/Datos!V18,(Datos!L18+Datos!AF18-(Datos!V18+Datos!AN18))/(Datos!V18+Datos!AN18))," - ")</f>
        <v>0.24324324324324326</v>
      </c>
      <c r="H18" s="244">
        <f>IF(ISNUMBER((Datos!M18-Datos!W18)/Datos!W18),(Datos!M18-Datos!W18)/Datos!W18," - ")</f>
        <v>0.26984126984126983</v>
      </c>
      <c r="I18" s="395">
        <f>IF(ISNUMBER((Tasas!C18-Datos!BE18)/Datos!BE18),(Tasas!C18-Datos!BE18)/Datos!BE18," - ")</f>
        <v>0.20733283083880688</v>
      </c>
      <c r="J18" s="394">
        <f>IF(ISNUMBER((Tasas!D18-Datos!BF18)/Datos!BF18),(Tasas!D18-Datos!BF18)/Datos!BF18," - ")</f>
        <v>0.23316258774426102</v>
      </c>
      <c r="K18" s="396">
        <f>IF(ISNUMBER((Tasas!E18-Datos!BG18)/Datos!BG18),(Tasas!E18-Datos!BG18)/Datos!BG18," - ")</f>
        <v>1.8737549800796754E-2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-2.4783147459727386E-3</v>
      </c>
      <c r="E21" s="393">
        <f>IF(ISNUMBER((Datos!J21-Datos!T21)/Datos!T21),(Datos!J21-Datos!T21)/Datos!T21," - ")</f>
        <v>-5.2687038988408848E-4</v>
      </c>
      <c r="F21" s="393">
        <f>IF(ISNUMBER((Datos!K21-Datos!U21)/Datos!U21),(Datos!K21-Datos!U21)/Datos!U21," - ")</f>
        <v>-2.8599127484246242E-2</v>
      </c>
      <c r="G21" s="394">
        <f>IF(ISNUMBER((Datos!L21-Datos!V21)/Datos!V21),(Datos!L21-Datos!V21)/Datos!V21," - ")</f>
        <v>0.17391304347826086</v>
      </c>
      <c r="H21" s="244">
        <f>IF(ISNUMBER((Datos!M21-Datos!W21)/Datos!W21),(Datos!M21-Datos!W21)/Datos!W21," - ")</f>
        <v>8.4826762246117085E-2</v>
      </c>
      <c r="I21" s="395">
        <f>IF(ISNUMBER((Tasas!C21-Datos!BE21)/Datos!BE21),(Tasas!C21-Datos!BE21)/Datos!BE21," - ")</f>
        <v>0.20847435563655309</v>
      </c>
      <c r="J21" s="394">
        <f>IF(ISNUMBER((Tasas!D21-Datos!BF21)/Datos!BF21),(Tasas!D21-Datos!BF21)/Datos!BF21," - ")</f>
        <v>0.11676527470745478</v>
      </c>
      <c r="K21" s="396">
        <f>IF(ISNUMBER((Tasas!E21-Datos!BG21)/Datos!BG21),(Tasas!E21-Datos!BG21)/Datos!BG21," - ")</f>
        <v>2.7975512528473852E-2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6.6865894658199476E-2</v>
      </c>
      <c r="E23" s="399">
        <f>IF(ISNUMBER(
   IF(D_I="SI",(Datos!J23-Datos!T23)/Datos!T23,(Datos!J23+Datos!AD23-(Datos!T23+Datos!AL23))/(Datos!T23+Datos!AL23))
     ),IF(D_I="SI",(Datos!J23-Datos!T23)/Datos!T23,(Datos!J23+Datos!AD23-(Datos!T23+Datos!AL23))/(Datos!T23+Datos!AL23))," - ")</f>
        <v>0.12420169669240301</v>
      </c>
      <c r="F23" s="399">
        <f>IF(ISNUMBER(
   IF(D_I="SI",(Datos!K23-Datos!U23)/Datos!U23,(Datos!K23+Datos!AE23-(Datos!U23+Datos!AM23))/(Datos!U23+Datos!AM23))
     ),IF(D_I="SI",(Datos!K23-Datos!U23)/Datos!U23,(Datos!K23+Datos!AE23-(Datos!U23+Datos!AM23))/(Datos!U23+Datos!AM23))," - ")</f>
        <v>9.3673965936739656E-2</v>
      </c>
      <c r="G23" s="400">
        <f>IF(ISNUMBER(
   IF(D_I="SI",(Datos!L23-Datos!V23)/Datos!V23,(Datos!L23+Datos!AF23-(Datos!V23+Datos!AN23))/(Datos!V23+Datos!AN23))
     ),IF(D_I="SI",(Datos!L23-Datos!V23)/Datos!V23,(Datos!L23+Datos!AF23-(Datos!V23+Datos!AN23))/(Datos!V23+Datos!AN23))," - ")</f>
        <v>0.23354341736694678</v>
      </c>
      <c r="H23" s="401">
        <f>IF(ISNUMBER((Datos!M23-Datos!W23)/Datos!W23),(Datos!M23-Datos!W23)/Datos!W23," - ")</f>
        <v>-7.4239049740163323E-3</v>
      </c>
      <c r="I23" s="402">
        <f>IF(ISNUMBER((Tasas!C23-Datos!BE23)/Datos!BE23),(Tasas!C23-Datos!BE23)/Datos!BE23," - ")</f>
        <v>0.127889531786018</v>
      </c>
      <c r="J23" s="400">
        <f>IF(ISNUMBER((Tasas!D23-Datos!BF23)/Datos!BF23),(Tasas!D23-Datos!BF23)/Datos!BF23," - ")</f>
        <v>-9.2438765170902604E-2</v>
      </c>
      <c r="K23" s="403">
        <f>IF(ISNUMBER((Tasas!E23-Datos!BG23)/Datos!BG23),(Tasas!E23-Datos!BG23)/Datos!BG23," - ")</f>
        <v>1.7255232964398143E-2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8.3247863247863249E-2</v>
      </c>
      <c r="E31" s="409">
        <f>IF(ISNUMBER(
   IF(J_V="SI",(Datos!J31-Datos!T31)/Datos!T31,(Datos!J31+Datos!Z31-(Datos!T31+Datos!AH31))/(Datos!T31+Datos!AH31))
     ),IF(J_V="SI",(Datos!J31-Datos!T31)/Datos!T31,(Datos!J31+Datos!Z31-(Datos!T31+Datos!AH31))/(Datos!T31+Datos!AH31))," - ")</f>
        <v>0.12853581879267367</v>
      </c>
      <c r="F31" s="409">
        <f>IF(ISNUMBER(
   IF(J_V="SI",(Datos!K31-Datos!U31)/Datos!U31,(Datos!K31+Datos!AA31-(Datos!U31+Datos!AI31))/(Datos!U31+Datos!AI31))
     ),IF(J_V="SI",(Datos!K31-Datos!U31)/Datos!U31,(Datos!K31+Datos!AA31-(Datos!U31+Datos!AI31))/(Datos!U31+Datos!AI31))," - ")</f>
        <v>0.10251125454249607</v>
      </c>
      <c r="G31" s="410">
        <f>IF(ISNUMBER(
   IF(J_V="SI",(Datos!L31-Datos!V31)/Datos!V31,(Datos!L31+Datos!AB31-(Datos!V31+Datos!AJ31))/(Datos!V31+Datos!AJ31))
     ),IF(J_V="SI",(Datos!L31-Datos!V31)/Datos!V31,(Datos!L31+Datos!AB31-(Datos!V31+Datos!AJ31))/(Datos!V31+Datos!AJ31))," - ")</f>
        <v>0.16900741675871864</v>
      </c>
      <c r="H31" s="411">
        <f>IF(ISNUMBER((Datos!M31-Datos!W31)/Datos!W31),(Datos!M31-Datos!W31)/Datos!W31," - ")</f>
        <v>1.5774502198086373E-2</v>
      </c>
      <c r="I31" s="408">
        <f>IF(ISNUMBER((Tasas!C31-Datos!BE31)/Datos!BE31),(Tasas!C31-Datos!BE31)/Datos!BE31," - ")</f>
        <v>6.0313363643454264E-2</v>
      </c>
      <c r="J31" s="409">
        <f>IF(ISNUMBER((Tasas!D31-Datos!BF31)/Datos!BF31),(Tasas!D31-Datos!BF31)/Datos!BF31," - ")</f>
        <v>-0.53676044443470183</v>
      </c>
      <c r="K31" s="410">
        <f>IF(ISNUMBER((Tasas!E31-Datos!BG31)/Datos!BG31),(Tasas!E31-Datos!BG31)/Datos!BG31," - ")</f>
        <v>1.3717504110622154E-2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0.31892132297848735</v>
      </c>
      <c r="E33" s="303">
        <f t="shared" si="1"/>
        <v>6.9302913505027888E-2</v>
      </c>
      <c r="F33" s="303">
        <f t="shared" si="1"/>
        <v>0.12992936276421585</v>
      </c>
      <c r="G33" s="304">
        <f t="shared" si="1"/>
        <v>0.22019094039571724</v>
      </c>
      <c r="H33" s="310">
        <f t="shared" si="1"/>
        <v>0.20461118522210653</v>
      </c>
      <c r="I33" s="302">
        <f t="shared" si="1"/>
        <v>0.22050966495263175</v>
      </c>
      <c r="J33" s="303">
        <f t="shared" si="1"/>
        <v>0.42218394394326525</v>
      </c>
      <c r="K33" s="304">
        <f t="shared" si="1"/>
        <v>3.6824282443983468E-2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gDlJutdo4hxtGNqx3FNb8JpkUidPy6fXZ7Sbeusgxm3PhMIhZksDSnQbuit409PIgN2TJQfA9JlkaKsQVb4mg==" saltValue="gXIO70RgjyORHzE2smQ5t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